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V:\ISO Approved Documents\"/>
    </mc:Choice>
  </mc:AlternateContent>
  <xr:revisionPtr revIDLastSave="0" documentId="8_{81ED148E-D079-469B-A126-CC71016F0EB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F24" i="6"/>
  <c r="F39" i="6"/>
  <c r="B39" i="6"/>
  <c r="G39" i="6"/>
  <c r="H39" i="6"/>
  <c r="C39" i="6"/>
  <c r="I40" i="6"/>
  <c r="J47" i="6"/>
  <c r="J55" i="6"/>
  <c r="J56" i="6"/>
  <c r="I57" i="6"/>
  <c r="L66" i="6"/>
  <c r="J68" i="6"/>
  <c r="B4" i="8"/>
  <c r="A6" i="2"/>
  <c r="A14" i="2"/>
  <c r="A31" i="2"/>
  <c r="A57" i="2"/>
  <c r="B18" i="3"/>
  <c r="A7" i="2"/>
  <c r="A24" i="2"/>
  <c r="A41" i="2"/>
  <c r="A58" i="2"/>
  <c r="C2" i="3"/>
  <c r="C10" i="3"/>
  <c r="C18" i="3"/>
  <c r="C26" i="3"/>
  <c r="B13" i="4"/>
  <c r="B21" i="4"/>
  <c r="B38" i="4"/>
  <c r="B50" i="4"/>
  <c r="A3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F26" i="6"/>
  <c r="F31" i="6"/>
  <c r="B31" i="6"/>
  <c r="G31" i="6"/>
  <c r="H31" i="6"/>
  <c r="C31" i="6"/>
  <c r="J32" i="6"/>
  <c r="J40" i="6"/>
  <c r="I41" i="6"/>
  <c r="I49" i="6"/>
  <c r="J57" i="6"/>
  <c r="I58" i="6"/>
  <c r="L67" i="6"/>
  <c r="A1" i="7"/>
  <c r="D4" i="8"/>
  <c r="C3" i="6"/>
  <c r="I4" i="6"/>
  <c r="I5" i="6"/>
  <c r="J21" i="6"/>
  <c r="G21" i="6"/>
  <c r="H21" i="6"/>
  <c r="C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C6" i="6"/>
  <c r="I7" i="6"/>
  <c r="I8" i="6"/>
  <c r="I9" i="6"/>
  <c r="I10" i="6"/>
  <c r="I11" i="6"/>
  <c r="I12" i="6"/>
  <c r="J22" i="6"/>
  <c r="J34" i="6"/>
  <c r="I35" i="6"/>
  <c r="J42" i="6"/>
  <c r="F42" i="6"/>
  <c r="B42" i="6"/>
  <c r="G42" i="6"/>
  <c r="H42" i="6"/>
  <c r="C42" i="6"/>
  <c r="J50" i="6"/>
  <c r="I51" i="6"/>
  <c r="J59" i="6"/>
  <c r="I60" i="6"/>
  <c r="C5" i="7"/>
  <c r="D1" i="6"/>
  <c r="J6" i="6"/>
  <c r="J7" i="6"/>
  <c r="J8" i="6"/>
  <c r="C8" i="6"/>
  <c r="J9" i="6"/>
  <c r="C9" i="6"/>
  <c r="J10" i="6"/>
  <c r="C10" i="6"/>
  <c r="J11" i="6"/>
  <c r="C11" i="6"/>
  <c r="J12" i="6"/>
  <c r="C12" i="6"/>
  <c r="I24" i="6"/>
  <c r="J35" i="6"/>
  <c r="I36" i="6"/>
  <c r="I44" i="6"/>
  <c r="J51" i="6"/>
  <c r="I52" i="6"/>
  <c r="J60" i="6"/>
  <c r="I62" i="6"/>
  <c r="I65" i="6"/>
  <c r="D5" i="7"/>
  <c r="B10" i="4"/>
  <c r="A6" i="6"/>
  <c r="B18" i="4"/>
  <c r="A10" i="6"/>
  <c r="G25" i="4"/>
  <c r="G61"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c r="B40" i="6"/>
  <c r="G40" i="6"/>
  <c r="B50" i="6"/>
  <c r="G50" i="6"/>
  <c r="B25" i="6"/>
  <c r="G25" i="6"/>
  <c r="B35" i="6"/>
  <c r="G35" i="6"/>
  <c r="X6" i="5"/>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G37"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D39" i="6"/>
  <c r="H26" i="6"/>
  <c r="H24" i="6"/>
  <c r="C24" i="6"/>
  <c r="H35" i="6"/>
  <c r="D35" i="6"/>
  <c r="H40" i="6"/>
  <c r="D40" i="6"/>
  <c r="H46" i="6"/>
  <c r="D46"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0" i="6"/>
  <c r="C41" i="6"/>
  <c r="C20" i="6"/>
  <c r="D20" i="6"/>
  <c r="C2" i="6"/>
  <c r="B2" i="6"/>
  <c r="F57" i="6"/>
  <c r="H57" i="6"/>
  <c r="H54" i="6"/>
  <c r="F62" i="6"/>
  <c r="H62" i="6"/>
  <c r="F58" i="6"/>
  <c r="H58" i="6"/>
  <c r="F60" i="6"/>
  <c r="H60" i="6"/>
  <c r="F63" i="6"/>
  <c r="H63" i="6"/>
  <c r="F59" i="6"/>
  <c r="H59" i="6"/>
  <c r="F55" i="6"/>
  <c r="C37" i="6"/>
  <c r="D25" i="6"/>
  <c r="C25" i="6"/>
  <c r="D26" i="6"/>
  <c r="C26" i="6"/>
  <c r="D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5" i="6"/>
  <c r="C46" i="6"/>
  <c r="C34" i="6"/>
  <c r="D34" i="6"/>
  <c r="D31" i="6"/>
  <c r="C30" i="6"/>
  <c r="D30" i="6"/>
  <c r="C32" i="6"/>
  <c r="D32" i="6"/>
  <c r="R16" i="5"/>
  <c r="R10" i="5"/>
  <c r="R13" i="5"/>
  <c r="R7" i="5"/>
  <c r="H17" i="5"/>
  <c r="I17" i="5"/>
  <c r="J17" i="5"/>
  <c r="R17" i="5"/>
  <c r="F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X16" i="5"/>
  <c r="D55" i="6"/>
  <c r="C55" i="6"/>
  <c r="D56" i="6"/>
  <c r="C56" i="6"/>
  <c r="S17" i="5"/>
  <c r="G64" i="6" a="1"/>
  <c r="G64" i="6"/>
  <c r="G74" i="4"/>
  <c r="G43" i="4"/>
  <c r="H64" i="6"/>
  <c r="B64" i="6"/>
  <c r="H70" i="6"/>
  <c r="D2"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<sst xmlns="http://schemas.openxmlformats.org/spreadsheetml/2006/main" count="22410" uniqueCount="15788">
  <si>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</si>
  <si>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</si>
  <si>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</si>
  <si>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</si>
  <si>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</si>
  <si>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</si>
  <si>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</si>
  <si>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</si>
  <si>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</si>
  <si>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</si>
  <si>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</si>
  <si>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</si>
  <si>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</si>
  <si>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</si>
  <si>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</si>
  <si>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</si>
  <si>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</si>
  <si>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</si>
  <si>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</si>
  <si>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</si>
  <si>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</si>
  <si>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</si>
  <si>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</si>
  <si>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</si>
  <si>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</si>
  <si>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</si>
  <si>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</si>
  <si>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</si>
  <si>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</si>
  <si>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</si>
  <si>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</si>
  <si>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</si>
  <si>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</si>
  <si>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</si>
  <si>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</si>
  <si>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</si>
  <si>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</si>
  <si>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</si>
  <si>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</si>
  <si>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</si>
  <si>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</si>
  <si>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</si>
  <si>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</si>
  <si>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</si>
  <si>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</si>
  <si>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</si>
  <si>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</si>
  <si>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</si>
  <si>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</si>
  <si>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</si>
  <si>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</si>
  <si>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</si>
  <si>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</si>
  <si>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</si>
  <si>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</si>
  <si>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</si>
  <si>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</si>
  <si>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</si>
  <si>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</si>
  <si>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</si>
  <si>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</si>
  <si>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</si>
  <si>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</si>
  <si>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</si>
  <si>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</si>
  <si>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</si>
  <si>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</si>
  <si>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</si>
  <si>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</si>
  <si>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</si>
  <si>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</si>
  <si>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</si>
  <si>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</si>
  <si>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</si>
  <si>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</si>
  <si>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</si>
  <si>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</si>
  <si>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</si>
  <si>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</si>
  <si>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</si>
  <si>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</si>
  <si>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</si>
  <si>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</si>
  <si>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</si>
  <si>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</si>
  <si>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</si>
  <si>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</si>
  <si>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</si>
  <si>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</si>
  <si>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</si>
  <si>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</si>
  <si>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</si>
  <si>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</si>
  <si>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</si>
  <si>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</si>
  <si>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</si>
  <si>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</si>
  <si>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</si>
  <si>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</si>
  <si>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</si>
  <si>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</si>
  <si>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</si>
  <si>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</si>
  <si>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</si>
  <si>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</si>
  <si>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</si>
  <si>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</si>
  <si>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</si>
  <si>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</si>
  <si>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</si>
  <si>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</si>
  <si>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</si>
  <si>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</si>
  <si>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</si>
  <si>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</si>
  <si>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</si>
  <si>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</si>
  <si>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</si>
  <si>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</si>
  <si>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</si>
  <si>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</si>
  <si>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</si>
  <si>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</si>
  <si>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</si>
  <si>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</si>
  <si>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</si>
  <si>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</si>
  <si>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</si>
  <si>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</si>
  <si>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</si>
  <si>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</si>
  <si>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</si>
  <si>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</si>
  <si>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</si>
  <si>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</si>
  <si>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</si>
  <si>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</si>
  <si>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</si>
  <si>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</si>
  <si>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</si>
  <si>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</si>
  <si>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</si>
  <si>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</si>
  <si>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</si>
  <si>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</si>
  <si>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</si>
  <si>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</si>
  <si>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</si>
  <si>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</si>
  <si>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</si>
  <si>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</si>
  <si>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</si>
  <si>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</si>
  <si>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</si>
  <si>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</si>
  <si>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</si>
  <si>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</si>
  <si>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</si>
  <si>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</si>
  <si>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</si>
  <si>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</si>
  <si>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</si>
  <si>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</si>
  <si>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</si>
  <si>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</si>
  <si>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</si>
  <si>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</si>
  <si>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</si>
  <si>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</si>
  <si>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</si>
  <si>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</si>
  <si>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</si>
  <si>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</si>
  <si>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</si>
  <si>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</si>
  <si>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</si>
  <si>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</si>
  <si>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</si>
  <si>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</si>
  <si>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</si>
  <si>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</si>
  <si>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</si>
  <si>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</si>
  <si>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</si>
  <si>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</si>
  <si>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</si>
  <si>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</si>
  <si>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</si>
  <si>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</si>
  <si>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</si>
  <si>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</si>
  <si>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</si>
  <si>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</si>
  <si>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</si>
  <si>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</si>
  <si>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</si>
  <si>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</si>
  <si>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</si>
  <si>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</si>
  <si>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</si>
  <si>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</si>
  <si>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</si>
  <si>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</si>
  <si>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</si>
  <si>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</si>
  <si>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</si>
  <si>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</si>
  <si>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</si>
  <si>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</si>
  <si>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</si>
  <si>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</si>
  <si>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</si>
  <si>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</si>
  <si>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</si>
  <si>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</si>
  <si>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</si>
  <si>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</si>
  <si>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</si>
  <si>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</si>
  <si>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</si>
  <si>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</si>
  <si>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</si>
  <si>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</si>
  <si>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</si>
  <si>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</si>
  <si>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</si>
  <si>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</si>
  <si>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</si>
  <si>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</si>
  <si>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</si>
  <si>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</si>
  <si>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</si>
  <si>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</si>
  <si>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</si>
  <si>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</si>
  <si>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</si>
  <si>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</si>
  <si>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</si>
  <si>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</si>
  <si>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</si>
  <si>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</si>
  <si>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</si>
  <si>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</si>
  <si>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</si>
  <si>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</si>
  <si>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</si>
  <si>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</si>
  <si>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</si>
  <si>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</si>
  <si>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</si>
  <si>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</si>
  <si>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</si>
  <si>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</si>
  <si>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</si>
  <si>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</si>
  <si>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</si>
  <si>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</si>
  <si>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</si>
  <si>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</si>
  <si>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</si>
  <si>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</si>
  <si>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</si>
  <si>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</si>
  <si>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</si>
  <si>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</si>
  <si>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</si>
  <si>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</si>
  <si>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</si>
  <si>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</si>
  <si>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</si>
  <si>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</si>
  <si>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</si>
  <si>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</si>
  <si>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</si>
  <si>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</si>
  <si>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</si>
  <si>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</si>
  <si>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</si>
  <si>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</si>
  <si>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</si>
  <si>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</si>
  <si>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</si>
  <si>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</si>
  <si>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</si>
  <si>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</si>
  <si>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</si>
  <si>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</si>
  <si>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</si>
  <si>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</si>
  <si>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</si>
  <si>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</si>
  <si>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</si>
  <si>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</si>
  <si>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</si>
  <si>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</si>
  <si>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</si>
  <si>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</si>
  <si>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</si>
  <si>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</si>
  <si>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</si>
  <si>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</si>
  <si>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</si>
  <si>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</si>
  <si>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</si>
  <si>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</si>
  <si>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</si>
  <si>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</si>
  <si>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</si>
  <si>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</si>
  <si>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</si>
  <si>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</si>
  <si>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</si>
  <si>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</si>
  <si>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</si>
  <si>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</si>
  <si>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</si>
  <si>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</si>
  <si>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</si>
  <si>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</si>
  <si>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</si>
  <si>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</si>
  <si>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</si>
  <si>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</si>
  <si>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</si>
  <si>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</si>
  <si>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</si>
  <si>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</si>
  <si>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</si>
  <si>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</si>
  <si>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</si>
  <si>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</si>
  <si>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</si>
  <si>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</si>
  <si>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</si>
  <si>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</si>
  <si>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</si>
  <si>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</si>
  <si>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</si>
  <si>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</si>
  <si>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</si>
  <si>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</si>
  <si>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</si>
  <si>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</si>
  <si>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</si>
  <si>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</si>
  <si>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</si>
  <si>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</si>
  <si>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</si>
  <si>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</si>
  <si>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</si>
  <si>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</si>
  <si>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</si>
  <si>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</si>
  <si>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</si>
  <si>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</si>
  <si>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</si>
  <si>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</si>
  <si>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</si>
  <si>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</si>
  <si>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</si>
  <si>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</si>
  <si>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</si>
  <si>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</si>
  <si>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</si>
  <si>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</si>
  <si>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</si>
  <si>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</si>
  <si>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</si>
  <si>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</si>
  <si>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</si>
  <si>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</si>
  <si>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</si>
  <si>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</si>
  <si>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</si>
  <si>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</si>
  <si>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</si>
  <si>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</si>
  <si>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</si>
  <si>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</si>
  <si>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</si>
  <si>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</si>
  <si>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</si>
  <si>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</si>
  <si>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</si>
  <si>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</si>
  <si>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</si>
  <si>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</si>
  <si>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</si>
  <si>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</si>
  <si>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</si>
  <si>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</si>
  <si>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</si>
  <si>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</si>
  <si>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</si>
  <si>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</si>
  <si>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</si>
  <si>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</si>
  <si>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</si>
  <si>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</si>
  <si>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</si>
  <si>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</si>
  <si>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</si>
  <si>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</si>
  <si>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</si>
  <si>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</si>
  <si>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</si>
  <si>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</si>
  <si>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</si>
  <si>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</si>
  <si>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</si>
  <si>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</si>
  <si>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</si>
  <si>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</si>
  <si>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</si>
  <si>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</si>
  <si>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</si>
  <si>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</si>
  <si>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</si>
  <si>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</si>
  <si>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</si>
  <si>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</si>
  <si>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</si>
  <si>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</si>
  <si>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</si>
  <si>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</si>
  <si>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</si>
  <si>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</si>
  <si>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</si>
  <si>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</si>
  <si>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</si>
  <si>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</si>
  <si>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</si>
  <si>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</si>
  <si>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</si>
  <si>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</si>
  <si>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</si>
  <si>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</si>
  <si>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</si>
  <si>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</si>
  <si>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</si>
  <si>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</si>
  <si>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</si>
  <si>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</si>
  <si>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</si>
  <si>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</si>
  <si>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</si>
  <si>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</si>
  <si>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</si>
  <si>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</si>
  <si>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</si>
  <si>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</si>
  <si>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</si>
  <si>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</si>
  <si>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</si>
  <si>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</si>
  <si>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</si>
  <si>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</si>
  <si>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</si>
  <si>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</si>
  <si>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</si>
  <si>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</si>
  <si>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</si>
  <si>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</si>
  <si>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</si>
  <si>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</si>
  <si>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</si>
  <si>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</si>
  <si>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</si>
  <si>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</si>
  <si>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</si>
  <si>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</si>
  <si>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</si>
  <si>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</si>
  <si>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</si>
  <si>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</si>
  <si>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</si>
  <si>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</si>
  <si>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</si>
  <si>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</si>
  <si>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</si>
  <si>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</si>
  <si>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</si>
  <si>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</si>
  <si>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</si>
  <si>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</si>
  <si>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</si>
  <si>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</si>
  <si>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</si>
  <si>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</si>
  <si>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</si>
  <si>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</si>
  <si>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</si>
  <si>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</si>
  <si>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</si>
  <si>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</si>
  <si>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</si>
  <si>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</si>
  <si>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</si>
  <si>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</si>
  <si>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</si>
  <si>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</si>
  <si>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</si>
  <si>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</si>
  <si>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</si>
  <si>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</si>
  <si>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</si>
  <si>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</si>
  <si>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</si>
  <si>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</si>
  <si>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</si>
  <si>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</si>
  <si>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</si>
  <si>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</si>
  <si>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</si>
  <si>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</si>
  <si>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</si>
  <si>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</si>
  <si>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</si>
  <si>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</si>
  <si>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</si>
  <si>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</si>
  <si>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</si>
  <si>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</si>
  <si>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</si>
  <si>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</si>
  <si>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</si>
  <si>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</si>
  <si>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</si>
  <si>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</si>
  <si>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</si>
  <si>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</si>
  <si>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</si>
  <si>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</si>
  <si>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</si>
  <si>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</si>
  <si>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</si>
  <si>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</si>
  <si>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</si>
  <si>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</si>
  <si>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</si>
  <si>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</si>
  <si>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</si>
  <si>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</si>
  <si>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</si>
  <si>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</si>
  <si>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</si>
  <si>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</si>
  <si>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</si>
  <si>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</si>
  <si>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</si>
  <si>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</si>
  <si>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</si>
  <si>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</si>
  <si>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</si>
  <si>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</si>
  <si>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</si>
  <si>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</si>
  <si>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</si>
  <si>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</si>
  <si>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</si>
  <si>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</si>
  <si>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</si>
  <si>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</si>
  <si>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</si>
  <si>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</si>
  <si>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</si>
  <si>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</si>
  <si>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</si>
  <si>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</si>
  <si>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</si>
  <si>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</si>
  <si>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</si>
  <si>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</si>
  <si>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</si>
  <si>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</si>
  <si>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</si>
  <si>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</si>
  <si>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</si>
  <si>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</si>
  <si>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</si>
  <si>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</si>
  <si>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</si>
  <si>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</si>
  <si>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</si>
  <si>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</si>
  <si>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</si>
  <si>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</si>
  <si>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</si>
  <si>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</si>
  <si>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</si>
  <si>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</si>
  <si>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</si>
  <si>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</si>
  <si>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</si>
  <si>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</si>
  <si>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</si>
  <si>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</si>
  <si>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</si>
  <si>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</si>
  <si>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</si>
  <si>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</si>
  <si>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</si>
  <si>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</si>
  <si>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</si>
  <si>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</si>
  <si>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</si>
  <si>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</si>
  <si>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</si>
  <si>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</si>
  <si>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</si>
  <si>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</si>
  <si>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</si>
  <si>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</si>
  <si>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</si>
  <si>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</si>
  <si>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</si>
  <si>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</si>
  <si>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</si>
  <si>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</si>
  <si>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</si>
  <si>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</si>
  <si>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</si>
  <si>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</si>
  <si>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</si>
  <si>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</si>
  <si>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</si>
  <si>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</si>
  <si>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</si>
  <si>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</si>
  <si>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</si>
  <si>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</si>
  <si>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</si>
  <si>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</si>
  <si>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</si>
  <si>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</si>
  <si>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</si>
  <si>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</si>
  <si>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</si>
  <si>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</si>
  <si>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</si>
  <si>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</si>
  <si>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</si>
  <si>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</si>
  <si>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</si>
  <si>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</si>
  <si>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</si>
  <si>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</si>
  <si>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</si>
  <si>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</si>
  <si>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</si>
  <si>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</si>
  <si>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</si>
  <si>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</si>
  <si>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</si>
  <si>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</si>
  <si>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</si>
  <si>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</si>
  <si>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</si>
  <si>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</si>
  <si>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</si>
  <si>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</si>
  <si>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</si>
  <si>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</si>
  <si>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</si>
  <si>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</si>
  <si>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</si>
  <si>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</si>
  <si>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</si>
  <si>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</si>
  <si>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</si>
  <si>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</si>
  <si>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</si>
  <si>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</si>
  <si>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</si>
  <si>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</si>
  <si>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</si>
  <si>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</si>
  <si>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</si>
  <si>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</si>
  <si>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</si>
  <si>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</si>
  <si>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</si>
  <si>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</si>
  <si>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</si>
  <si>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</si>
  <si>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</si>
  <si>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</si>
  <si>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</si>
  <si>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</si>
  <si>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</si>
  <si>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</si>
  <si>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</si>
  <si>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</si>
  <si>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</si>
  <si>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</si>
  <si>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</si>
  <si>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</si>
  <si>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</si>
  <si>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</si>
  <si>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</si>
  <si>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</si>
  <si>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</si>
  <si>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</si>
  <si>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</si>
  <si>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</si>
  <si>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</si>
  <si>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</si>
  <si>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</si>
  <si>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</si>
  <si>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</si>
  <si>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</si>
  <si>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</si>
  <si>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</si>
  <si>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</si>
  <si>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</si>
  <si>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</si>
  <si>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</si>
  <si>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</si>
  <si>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</si>
  <si>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</si>
  <si>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</si>
  <si>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</si>
  <si>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</si>
  <si>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</si>
  <si>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</si>
  <si>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</si>
  <si>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</si>
  <si>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</si>
  <si>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</si>
  <si>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</si>
  <si>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</si>
  <si>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</si>
  <si>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</si>
  <si>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</si>
  <si>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</si>
  <si>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</si>
  <si>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</si>
  <si>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</si>
  <si>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</si>
  <si>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</si>
  <si>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</si>
  <si>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</si>
  <si>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</si>
  <si>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</si>
  <si>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</si>
  <si>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</si>
  <si>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</si>
  <si>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</si>
  <si>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</si>
  <si>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</si>
  <si>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</si>
  <si>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</si>
  <si>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</si>
  <si>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</si>
  <si>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</si>
  <si>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</si>
  <si>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</si>
  <si>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</si>
  <si>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</si>
  <si>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</si>
  <si>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</si>
  <si>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</si>
  <si>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</si>
  <si>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</si>
  <si>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</si>
  <si>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</si>
  <si>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</si>
  <si>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</si>
  <si>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</si>
  <si>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</si>
  <si>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</si>
  <si>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</si>
  <si>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</si>
  <si>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</si>
  <si>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</si>
  <si>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</si>
  <si>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</si>
  <si>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</si>
  <si>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</si>
  <si>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</si>
  <si>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</si>
  <si>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</si>
  <si>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</si>
  <si>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</si>
  <si>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</si>
  <si>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</si>
  <si>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</si>
  <si>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</si>
  <si>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</si>
  <si>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</si>
  <si>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</si>
  <si>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</si>
  <si>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</si>
  <si>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</si>
  <si>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</si>
  <si>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</si>
  <si>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</si>
  <si>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</si>
  <si>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</si>
  <si>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</si>
  <si>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</si>
  <si>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</si>
  <si>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</si>
  <si>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</si>
  <si>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</si>
  <si>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</si>
  <si>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</si>
  <si>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</si>
  <si>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</si>
  <si>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</si>
  <si>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</si>
  <si>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</si>
  <si>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</si>
  <si>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</si>
  <si>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</si>
  <si>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</si>
  <si>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</si>
  <si>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</si>
  <si>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</si>
  <si>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</si>
  <si>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</si>
  <si>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</si>
  <si>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</si>
  <si>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</si>
  <si>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</si>
  <si>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</si>
  <si>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</si>
  <si>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</si>
  <si>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</si>
  <si>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</si>
  <si>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</si>
  <si>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</si>
  <si>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</si>
  <si>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</si>
  <si>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</si>
  <si>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</si>
  <si>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</si>
  <si>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</si>
  <si>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</si>
  <si>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</si>
  <si>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</si>
  <si>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</si>
  <si>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</si>
  <si>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</si>
  <si>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</si>
  <si>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</si>
  <si>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</si>
  <si>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</si>
  <si>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</si>
  <si>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</si>
  <si>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</si>
  <si>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</si>
  <si>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</si>
  <si>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</si>
  <si>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</si>
  <si>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</si>
  <si>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</si>
  <si>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</si>
  <si>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</si>
  <si>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</si>
  <si>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</si>
  <si>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</si>
  <si>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</si>
  <si>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</si>
  <si>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</si>
  <si>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</si>
  <si>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</si>
  <si>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</si>
  <si>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</si>
  <si>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</si>
  <si>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</si>
  <si>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</si>
  <si>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</si>
  <si>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</si>
  <si>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</si>
  <si>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</si>
  <si>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</si>
  <si>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</si>
  <si>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</si>
  <si>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</si>
  <si>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</si>
  <si>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</si>
  <si>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</si>
  <si>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</si>
  <si>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</si>
  <si>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</si>
  <si>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</si>
  <si>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</si>
  <si>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</si>
  <si>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</si>
  <si>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</si>
  <si>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</si>
  <si>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</si>
  <si>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</si>
  <si>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</si>
  <si>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</si>
  <si>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</si>
  <si>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</si>
  <si>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</si>
  <si>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</si>
  <si>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</si>
  <si>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</si>
  <si>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</si>
  <si>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</si>
  <si>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</si>
  <si>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</si>
  <si>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</si>
  <si>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</si>
  <si>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</si>
  <si>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</si>
  <si>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</si>
  <si>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</si>
  <si>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</si>
  <si>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</si>
  <si>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</si>
  <si>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</si>
  <si>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</si>
  <si>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</si>
  <si>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</si>
  <si>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</si>
  <si>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</si>
  <si>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</si>
  <si>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</si>
  <si>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</si>
  <si>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</si>
  <si>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</si>
  <si>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</si>
  <si>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</si>
  <si>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</si>
  <si>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</si>
  <si>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</si>
  <si>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</si>
  <si>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</si>
  <si>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</si>
  <si>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</si>
  <si>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</si>
  <si>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</si>
  <si>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</si>
  <si>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</si>
  <si>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</si>
  <si>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</si>
  <si>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</si>
  <si>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</si>
  <si>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</si>
  <si>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</si>
  <si>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</si>
  <si>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</si>
  <si>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</si>
  <si>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</si>
  <si>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</si>
  <si>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</si>
  <si>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</si>
  <si>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</si>
  <si>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</si>
  <si>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</si>
  <si>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</si>
  <si>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</si>
  <si>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</si>
  <si>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</si>
  <si>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</si>
  <si>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</si>
  <si>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</si>
  <si>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</si>
  <si>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</si>
  <si>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</si>
  <si>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</si>
  <si>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</si>
  <si>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</si>
  <si>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</si>
  <si>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</si>
  <si>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</si>
  <si>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</si>
  <si>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</si>
  <si>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</si>
  <si>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</si>
  <si>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</si>
  <si>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</si>
  <si>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</si>
  <si>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</si>
  <si>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</si>
  <si>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</si>
  <si>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</si>
  <si>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</si>
  <si>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</si>
  <si>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</si>
  <si>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</si>
  <si>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</si>
  <si>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</si>
  <si>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</si>
  <si>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</si>
  <si>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</si>
  <si>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</si>
  <si>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</si>
  <si>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</si>
  <si>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</si>
  <si>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</si>
  <si>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</si>
  <si>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</si>
  <si>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</si>
  <si>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</si>
  <si>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</si>
  <si>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</si>
  <si>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</si>
  <si>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</si>
  <si>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</si>
  <si>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</si>
  <si>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</si>
  <si>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</si>
  <si>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</si>
  <si>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</si>
  <si>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</si>
  <si>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</si>
  <si>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</si>
  <si>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</si>
  <si>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</si>
  <si>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</si>
  <si>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</si>
  <si>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</si>
  <si>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</si>
  <si>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</si>
  <si>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</si>
  <si>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</si>
  <si>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</si>
  <si>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</si>
  <si>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</si>
  <si>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</si>
  <si>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</si>
  <si>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</si>
  <si>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</si>
  <si>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</si>
  <si>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</si>
  <si>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</si>
  <si>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</si>
  <si>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</si>
  <si>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</si>
  <si>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</si>
  <si>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</si>
  <si>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</si>
  <si>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</si>
  <si>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</si>
  <si>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</si>
  <si>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</si>
  <si>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</si>
  <si>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</si>
  <si>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</si>
  <si>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</si>
  <si>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</si>
  <si>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</si>
  <si>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</si>
  <si>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</si>
  <si>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</si>
  <si>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</si>
  <si>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</si>
  <si>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</si>
  <si>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</si>
  <si>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</si>
  <si>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</si>
  <si>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</si>
  <si>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</si>
  <si>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</si>
  <si>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</si>
  <si>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</si>
  <si>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</si>
  <si>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</si>
  <si>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</si>
  <si>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</si>
  <si>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</si>
  <si>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</si>
  <si>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</si>
  <si>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</si>
  <si>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</si>
  <si>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</si>
  <si>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</si>
  <si>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</si>
  <si>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</si>
  <si>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</si>
  <si>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</si>
  <si>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</si>
  <si>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</si>
  <si>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</si>
  <si>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</si>
  <si>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</si>
  <si>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</si>
  <si>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</si>
  <si>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</si>
  <si>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</si>
  <si>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</si>
  <si>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</si>
  <si>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</si>
  <si>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</si>
  <si>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</si>
  <si>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</si>
  <si>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</si>
  <si>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</si>
  <si>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</si>
  <si>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</si>
  <si>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</si>
  <si>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</si>
  <si>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</si>
  <si>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</si>
  <si>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</si>
  <si>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</si>
  <si>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</si>
  <si>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</si>
  <si>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</si>
  <si>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</si>
  <si>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</si>
  <si>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</si>
  <si>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</si>
  <si>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</si>
  <si>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</si>
  <si>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</si>
  <si>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</si>
  <si>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</si>
  <si>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</si>
  <si>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</si>
  <si>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</si>
  <si>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</si>
  <si>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</si>
  <si>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</si>
  <si>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</si>
  <si>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</si>
  <si>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</si>
  <si>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</si>
  <si>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</si>
  <si>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</si>
  <si>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</si>
  <si>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</si>
  <si>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</si>
  <si>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</si>
  <si>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</si>
  <si>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</si>
  <si>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</si>
  <si>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</si>
  <si>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</si>
  <si>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</si>
  <si>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</si>
  <si>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</si>
  <si>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</si>
  <si>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</si>
  <si>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</si>
  <si>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</si>
  <si>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</si>
  <si>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</si>
  <si>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</si>
  <si>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</si>
  <si>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</si>
  <si>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</si>
  <si>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</si>
  <si>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</si>
  <si>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</si>
  <si>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</si>
  <si>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</si>
  <si>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</si>
  <si>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</si>
  <si>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</si>
  <si>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</si>
  <si>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</si>
  <si>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</si>
  <si>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</si>
  <si>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</si>
  <si>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</si>
  <si>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</si>
  <si>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</si>
  <si>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</si>
  <si>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</si>
  <si>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</si>
  <si>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</si>
  <si>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</si>
  <si>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</si>
  <si>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</si>
  <si>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</si>
  <si>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</si>
  <si>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</si>
  <si>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</si>
  <si>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</si>
  <si>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</si>
  <si>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</si>
  <si>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</si>
  <si>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</si>
  <si>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</si>
  <si>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</si>
  <si>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</si>
  <si>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</si>
  <si>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</si>
  <si>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</si>
  <si>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</si>
  <si>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</si>
  <si>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</si>
  <si>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</si>
  <si>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</si>
  <si>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</si>
  <si>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</si>
  <si>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</si>
  <si>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</si>
  <si>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</si>
  <si>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</si>
  <si>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</si>
  <si>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</si>
  <si>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</si>
  <si>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</si>
  <si>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</si>
  <si>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</si>
  <si>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</si>
  <si>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</si>
  <si>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</si>
  <si>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</si>
  <si>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</si>
  <si>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</si>
  <si>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</si>
  <si>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</si>
  <si>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</si>
  <si>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</si>
  <si>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</si>
  <si>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</si>
  <si>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</si>
  <si>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</si>
  <si>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</si>
  <si>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</si>
  <si>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</si>
  <si>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</si>
  <si>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</si>
  <si>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</si>
  <si>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</si>
  <si>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</si>
  <si>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</si>
  <si>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</si>
  <si>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</si>
  <si>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</si>
  <si>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</si>
  <si>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</si>
  <si>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</si>
  <si>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</si>
  <si>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</si>
  <si>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</si>
  <si>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</si>
  <si>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</si>
  <si>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</si>
  <si>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</si>
  <si>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</si>
  <si>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</si>
  <si>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</si>
  <si>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</si>
  <si>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</si>
  <si>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</si>
  <si>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</si>
  <si>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</si>
  <si>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</si>
  <si>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</si>
  <si>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</si>
  <si>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</si>
  <si>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</si>
  <si>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</si>
  <si>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</si>
  <si>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</si>
  <si>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</si>
  <si>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</si>
  <si>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</si>
  <si>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</si>
  <si>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</si>
  <si>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</si>
  <si>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</si>
  <si>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</si>
  <si>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</si>
  <si>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</si>
  <si>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</si>
  <si>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</si>
  <si>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</si>
  <si>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</si>
  <si>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</si>
  <si>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</si>
  <si>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</si>
  <si>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</si>
  <si>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</si>
  <si>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</si>
  <si>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</si>
  <si>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</si>
  <si>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</si>
  <si>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</si>
  <si>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</si>
  <si>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</si>
  <si>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</si>
  <si>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</si>
  <si>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</si>
  <si>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</si>
  <si>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</si>
  <si>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</si>
  <si>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</si>
  <si>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</si>
  <si>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</si>
  <si>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</si>
  <si>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</si>
  <si>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</si>
  <si>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</si>
  <si>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</si>
  <si>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</si>
  <si>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</si>
  <si>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</si>
  <si>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</si>
  <si>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</si>
  <si>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</si>
  <si>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</si>
  <si>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</si>
  <si>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</si>
  <si>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</si>
  <si>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</si>
  <si>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</si>
  <si>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</si>
  <si>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</si>
  <si>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</si>
  <si>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</si>
  <si>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</si>
  <si>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</si>
  <si>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</si>
  <si>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</si>
  <si>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</si>
  <si>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</si>
  <si>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</si>
  <si>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</si>
  <si>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</si>
  <si>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</si>
  <si>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</si>
  <si>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</si>
  <si>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</si>
  <si>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</si>
  <si>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</si>
  <si>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</si>
  <si>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</si>
  <si>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</si>
  <si>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</si>
  <si>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</si>
  <si>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</si>
  <si>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</si>
  <si>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</si>
  <si>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</si>
  <si>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</si>
  <si>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</si>
  <si>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</si>
  <si>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</si>
  <si>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</si>
  <si>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</si>
  <si>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</si>
  <si>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</si>
  <si>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</si>
  <si>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</si>
  <si>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</si>
  <si>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</si>
  <si>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</si>
  <si>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</si>
  <si>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</si>
  <si>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</si>
  <si>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</si>
  <si>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</si>
  <si>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</si>
  <si>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</si>
  <si>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</si>
  <si>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</si>
  <si>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</si>
  <si>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</si>
  <si>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</si>
  <si>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</si>
  <si>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</si>
  <si>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</si>
  <si>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</si>
  <si>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</si>
  <si>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</si>
  <si>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</si>
  <si>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</si>
  <si>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</si>
  <si>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</si>
  <si>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</si>
  <si>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</si>
  <si>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</si>
  <si>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</si>
  <si>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</si>
  <si>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</si>
  <si>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</si>
  <si>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</si>
  <si>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</si>
  <si>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</si>
  <si>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</si>
  <si>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</si>
  <si>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</si>
  <si>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</si>
  <si>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</si>
  <si>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</si>
  <si>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</si>
  <si>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</si>
  <si>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</si>
  <si>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</si>
  <si>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</si>
  <si>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</si>
  <si>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</si>
  <si>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</si>
  <si>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</si>
  <si>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</si>
  <si>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</si>
  <si>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</si>
  <si>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</si>
  <si>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</si>
  <si>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</si>
  <si>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</si>
  <si>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</si>
  <si>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</si>
  <si>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</si>
  <si>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</si>
  <si>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</si>
  <si>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</si>
  <si>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</si>
  <si>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</si>
  <si>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</si>
  <si>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</si>
  <si>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</si>
  <si>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</si>
  <si>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</si>
  <si>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</si>
  <si>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</si>
  <si>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</si>
  <si>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</si>
  <si>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</si>
  <si>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</si>
  <si>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</si>
  <si>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</si>
  <si>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</si>
  <si>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</si>
  <si>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</si>
  <si>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</si>
  <si>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</si>
  <si>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</si>
  <si>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</si>
  <si>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</si>
  <si>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</si>
  <si>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</si>
  <si>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</si>
  <si>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</si>
  <si>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</si>
  <si>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</si>
  <si>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</si>
  <si>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</si>
  <si>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</si>
  <si>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</si>
  <si>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</si>
  <si>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</si>
  <si>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</si>
  <si>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</si>
  <si>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</si>
  <si>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</si>
  <si>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</si>
  <si>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</si>
  <si>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</si>
  <si>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</si>
  <si>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</si>
  <si>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</si>
  <si>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</si>
  <si>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</si>
  <si>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</si>
  <si>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</si>
  <si>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</si>
  <si>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</si>
  <si>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</si>
  <si>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</si>
  <si>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</si>
  <si>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</si>
  <si>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</si>
  <si>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</si>
  <si>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</si>
  <si>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</si>
  <si>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</si>
  <si>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</si>
  <si>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</si>
  <si>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</si>
  <si>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</si>
  <si>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</si>
  <si>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</si>
  <si>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</si>
  <si>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</si>
  <si>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</si>
  <si>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</si>
  <si>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</si>
  <si>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</si>
  <si>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</si>
  <si>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</si>
  <si>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</si>
  <si>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</si>
  <si>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</si>
  <si>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</si>
  <si>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</si>
  <si>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</si>
  <si>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</si>
  <si>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</si>
  <si>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</si>
  <si>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</si>
  <si>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</si>
  <si>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</si>
  <si>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</si>
  <si>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</si>
  <si>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</si>
  <si>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</si>
  <si>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</si>
  <si>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</si>
  <si>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</si>
  <si>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</si>
  <si>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</si>
  <si>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</si>
  <si>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</si>
  <si>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</si>
  <si>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</si>
  <si>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</si>
  <si>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</si>
  <si>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</si>
  <si>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</si>
  <si>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</si>
  <si>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</si>
  <si>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</si>
  <si>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</si>
  <si>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</si>
  <si>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</si>
  <si>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</si>
  <si>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</si>
  <si>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</si>
  <si>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</si>
  <si>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</si>
  <si>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</si>
  <si>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</si>
  <si>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</si>
  <si>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</si>
  <si>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</si>
  <si>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</si>
  <si>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</si>
  <si>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</si>
  <si>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</si>
  <si>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</si>
  <si>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</si>
  <si>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</si>
  <si>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</si>
  <si>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</si>
  <si>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</si>
  <si>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</si>
  <si>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</si>
  <si>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</si>
  <si>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</si>
  <si>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</si>
  <si>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</si>
  <si>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</si>
  <si>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</si>
  <si>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</si>
  <si>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</si>
  <si>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</si>
  <si>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</si>
  <si>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</si>
  <si>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</si>
  <si>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</si>
  <si>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</si>
  <si>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</si>
  <si>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</si>
  <si>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</si>
  <si>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</si>
  <si>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</si>
  <si>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</si>
  <si>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</si>
  <si>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</si>
  <si>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</si>
  <si>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</si>
  <si>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</si>
  <si>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</si>
  <si>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</si>
  <si>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</si>
  <si>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</si>
  <si>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</si>
  <si>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</si>
  <si>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</si>
  <si>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</si>
  <si>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</si>
  <si>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</si>
  <si>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</si>
  <si>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</si>
  <si>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</si>
  <si>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</si>
  <si>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</si>
  <si>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</si>
  <si>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</si>
  <si>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</si>
  <si>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</si>
  <si>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</si>
  <si>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</si>
  <si>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</si>
  <si>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</si>
  <si>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</si>
  <si>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</si>
  <si>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</si>
  <si>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</si>
  <si>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</si>
  <si>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</si>
  <si>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</si>
  <si>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</si>
  <si>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</si>
  <si>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</si>
  <si>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</si>
  <si>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</si>
  <si>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</si>
  <si>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</si>
  <si>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</si>
  <si>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</si>
  <si>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</si>
  <si>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</si>
  <si>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</si>
  <si>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</si>
  <si>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</si>
  <si>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</si>
  <si>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</si>
  <si>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</si>
  <si>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</si>
  <si>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</si>
  <si>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</si>
  <si>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</si>
  <si>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</si>
  <si>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</si>
  <si>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</si>
  <si>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</si>
  <si>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</si>
  <si>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</si>
  <si>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</si>
  <si>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</si>
  <si>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</si>
  <si>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</si>
  <si>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</si>
  <si>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</si>
  <si>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</si>
  <si>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</si>
  <si>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</si>
  <si>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</si>
  <si>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</si>
  <si>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</si>
  <si>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</si>
  <si>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</si>
  <si>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</si>
  <si>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</si>
  <si>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</si>
  <si>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</si>
  <si>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</si>
  <si>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</si>
  <si>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</si>
  <si>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</si>
  <si>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</si>
  <si>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</si>
  <si>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</si>
  <si>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</si>
  <si>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</si>
  <si>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</si>
  <si>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</si>
  <si>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</si>
  <si>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</si>
  <si>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</si>
  <si>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</si>
  <si>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</si>
  <si>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</si>
  <si>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</si>
  <si>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</si>
  <si>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</si>
  <si>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</si>
  <si>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</si>
  <si>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</si>
  <si>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</si>
  <si>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</si>
  <si>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</si>
  <si>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</si>
  <si>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</si>
  <si>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</si>
  <si>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</si>
  <si>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</si>
  <si>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</si>
  <si>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</si>
  <si>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</si>
  <si>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</si>
  <si>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</si>
  <si>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</si>
  <si>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</si>
  <si>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</si>
  <si>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</si>
  <si>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</si>
  <si>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</si>
  <si>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</si>
  <si>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</si>
  <si>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</si>
  <si>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</si>
  <si>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</si>
  <si>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</si>
  <si>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</si>
  <si>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</si>
  <si>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</si>
  <si>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</si>
  <si>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</si>
  <si>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</si>
  <si>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</si>
  <si>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</si>
  <si>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</si>
  <si>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</si>
  <si>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</si>
  <si>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</si>
  <si>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</si>
  <si>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</si>
  <si>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</si>
  <si>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</si>
  <si>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</si>
  <si>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</si>
  <si>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</si>
  <si>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</si>
  <si>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</si>
  <si>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</si>
  <si>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</si>
  <si>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</si>
  <si>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</si>
  <si>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</si>
  <si>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</si>
  <si>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</si>
  <si>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</si>
  <si>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</si>
  <si>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</si>
  <si>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</si>
  <si>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</si>
  <si>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</si>
  <si>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</si>
  <si>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</si>
  <si>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</si>
  <si>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</si>
  <si>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</si>
  <si>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</si>
  <si>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</si>
  <si>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</si>
  <si>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</si>
  <si>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</si>
  <si>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</si>
  <si>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</si>
  <si>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</si>
  <si>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</si>
  <si>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</si>
  <si>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</si>
  <si>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</si>
  <si>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</si>
  <si>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</si>
  <si>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</si>
  <si>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</si>
  <si>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</si>
  <si>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</si>
  <si>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</si>
  <si>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</si>
  <si>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</si>
  <si>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</si>
  <si>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</si>
  <si>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</si>
  <si>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</si>
  <si>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</si>
  <si>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</si>
  <si>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</si>
  <si>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</si>
  <si>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</si>
  <si>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</si>
  <si>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</si>
  <si>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</si>
  <si>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</si>
  <si>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</si>
  <si>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</si>
  <si>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</si>
  <si>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</si>
  <si>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</si>
  <si>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</si>
  <si>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</si>
  <si>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</si>
  <si>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</si>
  <si>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</si>
  <si>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</si>
  <si>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</si>
  <si>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</si>
  <si>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</si>
  <si>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</si>
  <si>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</si>
  <si>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</si>
  <si>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</si>
  <si>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</si>
  <si>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</si>
  <si>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</si>
  <si>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</si>
  <si>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</si>
  <si>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</si>
  <si>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</si>
  <si>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</si>
  <si>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</si>
  <si>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</si>
  <si>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</si>
  <si>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</si>
  <si>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</si>
  <si>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</si>
  <si>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</si>
  <si>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</si>
  <si>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</si>
  <si>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</si>
  <si>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</si>
  <si>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</si>
  <si>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</si>
  <si>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</si>
  <si>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</si>
  <si>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</si>
  <si>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</si>
  <si>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</si>
  <si>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</si>
  <si>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</si>
  <si>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</si>
  <si>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</si>
  <si>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</si>
  <si>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</si>
  <si>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</si>
  <si>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</si>
  <si>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</si>
  <si>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</si>
  <si>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</si>
  <si>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</si>
  <si>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</si>
  <si>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</si>
  <si>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</si>
  <si>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</si>
  <si>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</si>
  <si>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</si>
  <si>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</si>
  <si>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</si>
  <si>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</si>
  <si>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</si>
  <si>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</si>
  <si>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</si>
  <si>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</si>
  <si>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</si>
  <si>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</si>
  <si>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</si>
  <si>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</si>
  <si>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</si>
  <si>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</si>
  <si>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</si>
  <si>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</si>
  <si>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</si>
  <si>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</si>
  <si>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</si>
  <si>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</si>
  <si>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</si>
  <si>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</si>
  <si>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</si>
  <si>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</si>
  <si>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</si>
  <si>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</si>
  <si>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</si>
  <si>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</si>
  <si>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</si>
  <si>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</si>
  <si>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</si>
  <si>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</si>
  <si>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</si>
  <si>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</si>
  <si>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</si>
  <si>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</si>
  <si>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</si>
  <si>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</si>
  <si>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</si>
  <si>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</si>
  <si>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</si>
  <si>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</si>
  <si>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</si>
  <si>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</si>
  <si>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</si>
  <si>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</si>
  <si>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</si>
  <si>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</si>
  <si>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</si>
  <si>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</si>
  <si>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</si>
  <si>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</si>
  <si>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</si>
  <si>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</si>
  <si>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</si>
  <si>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</si>
  <si>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</si>
  <si>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</si>
  <si>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</si>
  <si>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</si>
  <si>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</si>
  <si>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</si>
  <si>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</si>
  <si>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</si>
  <si>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</si>
  <si>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</si>
  <si>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</si>
  <si>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</si>
  <si>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</si>
  <si>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</si>
  <si>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</si>
  <si>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</si>
  <si>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</si>
  <si>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</si>
  <si>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</si>
  <si>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</si>
  <si>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</si>
  <si>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</si>
  <si>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</si>
  <si>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</si>
  <si>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</si>
  <si>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</si>
  <si>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</si>
  <si>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</si>
  <si>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</si>
  <si>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</si>
  <si>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</si>
  <si>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</si>
  <si>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</si>
  <si>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</si>
  <si>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</si>
  <si>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</si>
  <si>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</si>
  <si>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</si>
  <si>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</si>
  <si>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</si>
  <si>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</si>
  <si>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</si>
  <si>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</si>
  <si>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</si>
  <si>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</si>
  <si>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</si>
  <si>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</si>
  <si>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</si>
  <si>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</si>
  <si>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</si>
  <si>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</si>
  <si>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</si>
  <si>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</si>
  <si>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</si>
  <si>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</si>
  <si>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</si>
  <si>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</si>
  <si>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</si>
  <si>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</si>
  <si>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</si>
  <si>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</si>
  <si>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</si>
  <si>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</si>
  <si>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</si>
  <si>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</si>
  <si>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</si>
  <si>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</si>
  <si>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</si>
  <si>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</si>
  <si>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</si>
  <si>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</si>
  <si>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</si>
  <si>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</si>
  <si>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</si>
  <si>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</si>
  <si>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</si>
  <si>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</si>
  <si>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</si>
  <si>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</si>
  <si>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</si>
  <si>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</si>
  <si>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</si>
  <si>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</si>
  <si>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</si>
  <si>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</si>
  <si>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</si>
  <si>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</si>
  <si>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</si>
  <si>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</si>
  <si>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</si>
  <si>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</si>
  <si>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</si>
  <si>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</si>
  <si>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</si>
  <si>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</si>
  <si>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</si>
  <si>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</si>
  <si>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</si>
  <si>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</si>
  <si>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</si>
  <si>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</si>
  <si>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</si>
  <si>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</si>
  <si>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</si>
  <si>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</si>
  <si>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</si>
  <si>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</si>
  <si>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</si>
  <si>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</si>
  <si>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</si>
  <si>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</si>
  <si>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</si>
  <si>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</si>
  <si>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</si>
  <si>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</si>
  <si>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</si>
  <si>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</si>
  <si>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</si>
  <si>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</si>
  <si>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</si>
  <si>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</si>
  <si>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</si>
  <si>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</si>
  <si>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</si>
  <si>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</si>
  <si>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</si>
  <si>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</si>
  <si>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</si>
  <si>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</si>
  <si>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</si>
  <si>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</si>
  <si>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</si>
  <si>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</si>
  <si>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</si>
  <si>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</si>
  <si>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</si>
  <si>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</si>
  <si>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</si>
  <si>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</si>
  <si>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</si>
  <si>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</si>
  <si>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</si>
  <si>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</si>
  <si>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</si>
  <si>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</si>
  <si>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</si>
  <si>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</si>
  <si>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</si>
  <si>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</si>
  <si>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</si>
  <si>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</si>
  <si>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</si>
  <si>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</si>
  <si>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</si>
  <si>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</si>
  <si>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</si>
  <si>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</si>
  <si>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</si>
  <si>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</si>
  <si>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</si>
  <si>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</si>
  <si>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</si>
  <si>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</si>
  <si>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</si>
  <si>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</si>
  <si>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</si>
  <si>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</si>
  <si>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</si>
  <si>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</si>
  <si>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</si>
  <si>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</si>
  <si>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</si>
  <si>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</si>
  <si>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</si>
  <si>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</si>
  <si>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</si>
  <si>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</si>
  <si>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</si>
  <si>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</si>
  <si>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</si>
  <si>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</si>
  <si>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</si>
  <si>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</si>
  <si>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</si>
  <si>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</si>
  <si>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</si>
  <si>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</si>
  <si>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</si>
  <si>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</si>
  <si>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</si>
  <si>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</si>
  <si>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</si>
  <si>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</si>
  <si>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</si>
  <si>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</si>
  <si>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</si>
  <si>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</si>
  <si>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</si>
  <si>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</si>
  <si>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</si>
  <si>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</si>
  <si>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</si>
  <si>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</si>
  <si>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</si>
  <si>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</si>
  <si>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</si>
  <si>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</si>
  <si>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</si>
  <si>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</si>
  <si>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</si>
  <si>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</si>
  <si>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</si>
  <si>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</si>
  <si>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</si>
  <si>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</si>
  <si>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</si>
  <si>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</si>
  <si>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</si>
  <si>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</si>
  <si>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</si>
  <si>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</si>
  <si>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</si>
  <si>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</si>
  <si>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</si>
  <si>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</si>
  <si>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</si>
  <si>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</si>
  <si>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</si>
  <si>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</si>
  <si>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</si>
  <si>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</si>
  <si>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</si>
  <si>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</si>
  <si>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</si>
  <si>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</si>
  <si>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</si>
  <si>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</si>
  <si>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</si>
  <si>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</si>
  <si>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</si>
  <si>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</si>
  <si>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</si>
  <si>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</si>
  <si>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</si>
  <si>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</si>
  <si>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</si>
  <si>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</si>
  <si>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</si>
  <si>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</si>
  <si>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</si>
  <si>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</si>
  <si>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</si>
  <si>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</si>
  <si>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</si>
  <si>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</si>
  <si>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</si>
  <si>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</si>
  <si>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</si>
  <si>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</si>
  <si>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</si>
  <si>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</si>
  <si>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</si>
  <si>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</si>
  <si>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</si>
  <si>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</si>
  <si>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</si>
  <si>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</si>
  <si>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</si>
  <si>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</si>
  <si>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</si>
  <si>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</si>
  <si>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</si>
  <si>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</si>
  <si>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</si>
  <si>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</si>
  <si>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</si>
  <si>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</si>
  <si>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</si>
  <si>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</si>
  <si>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</si>
  <si>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</si>
  <si>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</si>
  <si>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</si>
  <si>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</si>
  <si>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</si>
  <si>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</si>
  <si>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</si>
  <si>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</si>
  <si>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</si>
  <si>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</si>
  <si>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</si>
  <si>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</si>
  <si>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</si>
  <si>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</si>
  <si>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</si>
  <si>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</si>
  <si>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</si>
  <si>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</si>
  <si>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</si>
  <si>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</si>
  <si>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</si>
  <si>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</si>
  <si>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</si>
  <si>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</si>
  <si>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</si>
  <si>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</si>
  <si>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</si>
  <si>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</si>
  <si>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</si>
  <si>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</si>
  <si>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</si>
  <si>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</si>
  <si>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</si>
  <si>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</si>
  <si>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</si>
  <si>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</si>
  <si>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</si>
  <si>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</si>
  <si>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</si>
  <si>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</si>
  <si>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</si>
  <si>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</si>
  <si>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</si>
  <si>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</si>
  <si>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</si>
  <si>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</si>
  <si>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</si>
  <si>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</si>
  <si>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</si>
  <si>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</si>
  <si>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</si>
  <si>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</si>
  <si>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</si>
  <si>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</si>
  <si>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</si>
  <si>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</si>
  <si>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</si>
  <si>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</si>
  <si>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</si>
  <si>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</si>
  <si>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</si>
  <si>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</si>
  <si>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</si>
  <si>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</si>
  <si>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</si>
  <si>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</si>
  <si>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</si>
  <si>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</si>
  <si>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</si>
  <si>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</si>
  <si>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</si>
  <si>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</si>
  <si>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</si>
  <si>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</si>
  <si>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</si>
  <si>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</si>
  <si>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</si>
  <si>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</si>
  <si>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</si>
  <si>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</si>
  <si>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</si>
  <si>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</si>
  <si>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</si>
  <si>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</si>
  <si>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</si>
  <si>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</si>
  <si>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</si>
  <si>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</si>
  <si>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</si>
  <si>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</si>
  <si>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</si>
  <si>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</si>
  <si>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</si>
  <si>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</si>
  <si>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</si>
  <si>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</si>
  <si>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</si>
  <si>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</si>
  <si>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</si>
  <si>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</si>
  <si>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</si>
  <si>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</si>
  <si>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</si>
  <si>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</si>
  <si>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</si>
  <si>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</si>
  <si>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</si>
  <si>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</si>
  <si>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</si>
  <si>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</si>
  <si>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</si>
  <si>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</si>
  <si>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</si>
  <si>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</si>
  <si>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</si>
  <si>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</si>
  <si>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</si>
  <si>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</si>
  <si>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</si>
  <si>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</si>
  <si>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</si>
  <si>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</si>
  <si>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</si>
  <si>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</si>
  <si>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</si>
  <si>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</si>
  <si>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</si>
  <si>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</si>
  <si>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</si>
  <si>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</si>
  <si>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</si>
  <si>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</si>
  <si>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</si>
  <si>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</si>
  <si>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</si>
  <si>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</si>
  <si>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</si>
  <si>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</si>
  <si>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</si>
  <si>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</si>
  <si>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</si>
  <si>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</si>
  <si>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</si>
  <si>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</si>
  <si>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</si>
  <si>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</si>
  <si>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</si>
  <si>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</si>
  <si>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</si>
  <si>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</si>
  <si>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</si>
  <si>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</si>
  <si>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</si>
  <si>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</si>
  <si>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</si>
  <si>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</si>
  <si>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</si>
  <si>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</si>
  <si>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</si>
  <si>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</si>
  <si>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</si>
  <si>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</si>
  <si>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</si>
  <si>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</si>
  <si>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</si>
  <si>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</si>
  <si>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</si>
  <si>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</si>
  <si>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</si>
  <si>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</si>
  <si>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</si>
  <si>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</si>
  <si>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</si>
  <si>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</si>
  <si>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</si>
  <si>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</si>
  <si>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</si>
  <si>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</si>
  <si>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</si>
  <si>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</si>
  <si>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</si>
  <si>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</si>
  <si>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</si>
  <si>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</si>
  <si>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</si>
  <si>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</si>
  <si>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</si>
  <si>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</si>
  <si>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</si>
  <si>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</si>
  <si>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</si>
  <si>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</si>
  <si>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</si>
  <si>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</si>
  <si>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</si>
  <si>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</si>
  <si>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</si>
  <si>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</si>
  <si>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</si>
  <si>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</si>
  <si>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</si>
  <si>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</si>
  <si>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</si>
  <si>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</si>
  <si>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</si>
  <si>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</si>
  <si>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</si>
  <si>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</si>
  <si>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</si>
  <si>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</si>
  <si>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</si>
  <si>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</si>
  <si>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</si>
  <si>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</si>
  <si>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</si>
  <si>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</si>
  <si>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</si>
  <si>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</si>
  <si>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</si>
  <si>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</si>
  <si>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</si>
  <si>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</si>
  <si>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</si>
  <si>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</si>
  <si>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</si>
  <si>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</si>
  <si>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</si>
  <si>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</si>
  <si>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</si>
  <si>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</si>
  <si>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</si>
  <si>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</si>
  <si>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</si>
  <si>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</si>
  <si>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</si>
  <si>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</si>
  <si>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</si>
  <si>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</si>
  <si>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</si>
  <si>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</si>
  <si>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</si>
  <si>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</si>
  <si>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</si>
  <si>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</si>
  <si>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</si>
  <si>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</si>
  <si>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</si>
  <si>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</si>
  <si>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</si>
  <si>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</si>
  <si>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</si>
  <si>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</si>
  <si>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</si>
  <si>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</si>
  <si>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</si>
  <si>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</si>
  <si>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</si>
  <si>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</si>
  <si>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</si>
  <si>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</si>
  <si>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</si>
  <si>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</si>
  <si>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</si>
  <si>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</si>
  <si>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</si>
  <si>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</si>
  <si>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</si>
  <si>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</si>
  <si>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</si>
  <si>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</si>
  <si>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</si>
  <si>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</si>
  <si>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</si>
  <si>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</si>
  <si>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</si>
  <si>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</si>
  <si>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</si>
  <si>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</si>
  <si>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</si>
  <si>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</si>
  <si>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</si>
  <si>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</si>
  <si>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</si>
  <si>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</si>
  <si>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</si>
  <si>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</si>
  <si>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</si>
  <si>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</si>
  <si>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</si>
  <si>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</si>
  <si>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</si>
  <si>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</si>
  <si>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</si>
  <si>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</si>
  <si>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</si>
  <si>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</si>
  <si>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</si>
  <si>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</si>
  <si>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</si>
  <si>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</si>
  <si>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</si>
  <si>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</si>
  <si>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</si>
  <si>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</si>
  <si>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</si>
  <si>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</si>
  <si>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</si>
  <si>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</si>
  <si>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</si>
  <si>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</si>
  <si>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</si>
  <si>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</si>
  <si>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</si>
  <si>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</si>
  <si>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</si>
  <si>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</si>
  <si>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</si>
  <si>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</si>
  <si>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</si>
  <si>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</si>
  <si>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</si>
  <si>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</si>
  <si>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</si>
  <si>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</si>
  <si>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</si>
  <si>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</si>
  <si>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</si>
  <si>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</si>
  <si>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</si>
  <si>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</si>
  <si>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</si>
  <si>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</si>
  <si>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</si>
  <si>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</si>
  <si>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</si>
  <si>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</si>
  <si>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</si>
  <si>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</si>
  <si>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</si>
  <si>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</si>
  <si>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</si>
  <si>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</si>
  <si>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</si>
  <si>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</si>
  <si>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</si>
  <si>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</si>
  <si>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</si>
  <si>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</si>
  <si>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</si>
  <si>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</si>
  <si>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</si>
  <si>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</si>
  <si>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</si>
  <si>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</si>
  <si>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</si>
  <si>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</si>
  <si>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</si>
  <si>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</si>
  <si>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</si>
  <si>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</si>
  <si>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</si>
  <si>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</si>
  <si>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</si>
  <si>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</si>
  <si>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</si>
  <si>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</si>
  <si>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</si>
  <si>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</si>
  <si>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</si>
  <si>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</si>
  <si>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</si>
  <si>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</si>
  <si>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</si>
  <si>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</si>
  <si>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</si>
  <si>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</si>
  <si>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</si>
  <si>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</si>
  <si>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</si>
  <si>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</si>
  <si>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</si>
  <si>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</si>
  <si>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</si>
  <si>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</si>
  <si>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</si>
  <si>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</si>
  <si>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</si>
  <si>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</si>
  <si>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</si>
  <si>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</si>
  <si>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</si>
  <si>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</si>
  <si>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</si>
  <si>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</si>
  <si>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</si>
  <si>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</si>
  <si>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</si>
  <si>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</si>
  <si>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</si>
  <si>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</si>
  <si>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</si>
  <si>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</si>
  <si>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</si>
  <si>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</si>
  <si>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</si>
  <si>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</si>
  <si>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</si>
  <si>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</si>
  <si>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</si>
  <si>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</si>
  <si>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</si>
  <si>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</si>
  <si>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</si>
  <si>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</si>
  <si>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</si>
  <si>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</si>
  <si>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</si>
  <si>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</si>
  <si>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</si>
  <si>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</si>
  <si>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</si>
  <si>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</si>
  <si>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</si>
  <si>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</si>
  <si>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</si>
  <si>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</si>
  <si>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</si>
  <si>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</si>
  <si>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</si>
  <si>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</si>
  <si>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</si>
  <si>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</si>
  <si>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</si>
  <si>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</si>
  <si>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</si>
  <si>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</si>
  <si>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</si>
  <si>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</si>
  <si>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</si>
  <si>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</si>
  <si>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</si>
  <si>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</si>
  <si>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</si>
  <si>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</si>
  <si>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</si>
  <si>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</si>
  <si>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</si>
  <si>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</si>
  <si>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</si>
  <si>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</si>
  <si>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</si>
  <si>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</si>
  <si>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</si>
  <si>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</si>
  <si>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</si>
  <si>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</si>
  <si>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</si>
  <si>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</si>
  <si>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</si>
  <si>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</si>
  <si>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</si>
  <si>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</si>
  <si>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</si>
  <si>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</si>
  <si>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</si>
  <si>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</si>
  <si>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</si>
  <si>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</si>
  <si>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</si>
  <si>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</si>
  <si>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</si>
  <si>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</si>
  <si>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</si>
  <si>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</si>
  <si>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</si>
  <si>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</si>
  <si>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</si>
  <si>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</si>
  <si>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</si>
  <si>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</si>
  <si>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</si>
  <si>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</si>
  <si>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</si>
  <si>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</si>
  <si>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</si>
  <si>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</si>
  <si>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</si>
  <si>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</si>
  <si>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</si>
  <si>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</si>
  <si>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</si>
  <si>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</si>
  <si>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</si>
  <si>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</si>
  <si>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</si>
  <si>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</si>
  <si>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</si>
  <si>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</si>
  <si>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</si>
  <si>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</si>
  <si>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</si>
  <si>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</si>
  <si>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</si>
  <si>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</si>
  <si>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</si>
  <si>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</si>
  <si>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</si>
  <si>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</si>
  <si>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</si>
  <si>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</si>
  <si>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</si>
  <si>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</si>
  <si>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</si>
  <si>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</si>
  <si>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</si>
  <si>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</si>
  <si>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</si>
  <si>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</si>
  <si>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</si>
  <si>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</si>
  <si>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</si>
  <si>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</si>
  <si>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</si>
  <si>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</si>
  <si>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</si>
  <si>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</si>
  <si>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</si>
  <si>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</si>
  <si>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</si>
  <si>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</si>
  <si>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</si>
  <si>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</si>
  <si>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</si>
  <si>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</si>
  <si>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</si>
  <si>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</si>
  <si>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</si>
  <si>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</si>
  <si>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</si>
  <si>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</si>
  <si>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</si>
  <si>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</si>
  <si>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</si>
  <si>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</si>
  <si>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</si>
  <si>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</si>
  <si>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</si>
  <si>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</si>
  <si>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</si>
  <si>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</si>
  <si>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</si>
  <si>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</si>
  <si>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</si>
  <si>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</si>
  <si>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</si>
  <si>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</si>
  <si>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</si>
  <si>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</si>
  <si>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</si>
  <si>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</si>
  <si>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</si>
  <si>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</si>
  <si>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</si>
  <si>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</si>
  <si>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</si>
  <si>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</si>
  <si>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</si>
  <si>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</si>
  <si>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</si>
  <si>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</si>
  <si>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</si>
  <si>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</si>
  <si>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</si>
  <si>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</si>
  <si>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</si>
  <si>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</si>
  <si>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</si>
  <si>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</si>
  <si>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</si>
  <si>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</si>
  <si>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</si>
  <si>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</si>
  <si>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</si>
  <si>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</si>
  <si>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</si>
  <si>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</si>
  <si>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</si>
  <si>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</si>
  <si>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</si>
  <si>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</si>
  <si>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</si>
  <si>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</si>
  <si>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</si>
  <si>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</si>
  <si>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</si>
  <si>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</si>
  <si>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</si>
  <si>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</si>
  <si>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</si>
  <si>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</si>
  <si>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</si>
  <si>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</si>
  <si>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</si>
  <si>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</si>
  <si>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</si>
  <si>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</si>
  <si>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</si>
  <si>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</si>
  <si>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</si>
  <si>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</si>
  <si>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</si>
  <si>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</si>
  <si>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</si>
  <si>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</si>
  <si>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</si>
  <si>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</si>
  <si>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</si>
  <si>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</si>
  <si>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</si>
  <si>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</si>
  <si>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</si>
  <si>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</si>
  <si>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</si>
  <si>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</si>
  <si>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</si>
  <si>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</si>
  <si>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</si>
  <si>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</si>
  <si>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</si>
  <si>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</si>
  <si>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</si>
  <si>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</si>
  <si>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</si>
  <si>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</si>
  <si>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</si>
  <si>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</si>
  <si>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</si>
  <si>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</si>
  <si>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</si>
  <si>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</si>
  <si>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</si>
  <si>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</si>
  <si>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</si>
  <si>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</si>
  <si>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</si>
  <si>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</si>
  <si>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</si>
  <si>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</si>
  <si>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</si>
  <si>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</si>
  <si>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</si>
  <si>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</si>
  <si>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</si>
  <si>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</si>
  <si>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</si>
  <si>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</si>
  <si>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</si>
  <si>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</si>
  <si>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</si>
  <si>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</si>
  <si>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</si>
  <si>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</si>
  <si>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</si>
  <si>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</si>
  <si>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</si>
  <si>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</si>
  <si>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</si>
  <si>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</si>
  <si>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</si>
  <si>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</si>
  <si>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</si>
  <si>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</si>
  <si>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</si>
  <si>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</si>
  <si>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</si>
  <si>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</si>
  <si>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</si>
  <si>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</si>
  <si>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</si>
  <si>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</si>
  <si>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</si>
  <si>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</si>
  <si>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</si>
  <si>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</si>
  <si>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</si>
  <si>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</si>
  <si>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</si>
  <si>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</si>
  <si>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</si>
  <si>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</si>
  <si>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</si>
  <si>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</si>
  <si>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</si>
  <si>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</si>
  <si>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</si>
  <si>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</si>
  <si>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</si>
  <si>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</si>
  <si>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</si>
  <si>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</si>
  <si>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</si>
  <si>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</si>
  <si>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</si>
  <si>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</si>
  <si>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</si>
  <si>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</si>
  <si>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</si>
  <si>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</si>
  <si>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</si>
  <si>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</si>
  <si>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</si>
  <si>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</si>
  <si>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</si>
  <si>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</si>
  <si>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</si>
  <si>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</si>
  <si>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</si>
  <si>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</si>
  <si>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</si>
  <si>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</si>
  <si>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</si>
  <si>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</si>
  <si>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</si>
  <si>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</si>
  <si>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</si>
  <si>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</si>
  <si>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</si>
  <si>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</si>
  <si>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</si>
  <si>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</si>
  <si>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</si>
  <si>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</si>
  <si>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</si>
  <si>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</si>
  <si>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</si>
  <si>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</si>
  <si>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</si>
  <si>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</si>
  <si>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</si>
  <si>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</si>
  <si>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</si>
  <si>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</si>
  <si>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</si>
  <si>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</si>
  <si>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</si>
  <si>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</si>
  <si>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</si>
  <si>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</si>
  <si>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</si>
  <si>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</si>
  <si>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</si>
  <si>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</si>
  <si>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</si>
  <si>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</si>
  <si>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</si>
  <si>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</si>
  <si>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</si>
  <si>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</si>
  <si>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</si>
  <si>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</si>
  <si>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</si>
  <si>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</si>
  <si>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</si>
  <si>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</si>
  <si>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</si>
  <si>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</si>
  <si>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</si>
  <si>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</si>
  <si>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</si>
  <si>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</si>
  <si>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</si>
  <si>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</si>
  <si>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</si>
  <si>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</si>
  <si>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</si>
  <si>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</si>
  <si>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</si>
  <si>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</si>
  <si>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</si>
  <si>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</si>
  <si>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</si>
  <si>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</si>
  <si>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</si>
  <si>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</si>
  <si>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</si>
  <si>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</si>
  <si>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</si>
  <si>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</si>
  <si>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</si>
  <si>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</si>
  <si>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</si>
  <si>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</si>
  <si>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</si>
  <si>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</si>
  <si>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</si>
  <si>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</si>
  <si>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</si>
  <si>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</si>
  <si>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</si>
  <si>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</si>
  <si>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</si>
  <si>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</si>
  <si>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</si>
  <si>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</si>
  <si>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</si>
  <si>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</si>
  <si>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</si>
  <si>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</si>
  <si>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</si>
  <si>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</si>
  <si>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</si>
  <si>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</si>
  <si>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</si>
  <si>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</si>
  <si>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</si>
  <si>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</si>
  <si>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</si>
  <si>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</si>
  <si>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</si>
  <si>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</si>
  <si>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</si>
  <si>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</si>
  <si>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</si>
  <si>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</si>
  <si>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</si>
  <si>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</si>
  <si>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</si>
  <si>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</si>
  <si>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</si>
  <si>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</si>
  <si>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</si>
  <si>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</si>
  <si>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</si>
  <si>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</si>
  <si>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</si>
  <si>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</si>
  <si>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</si>
  <si>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</si>
  <si>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</si>
  <si>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</si>
  <si>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</si>
  <si>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</si>
  <si>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</si>
  <si>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</si>
  <si>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</si>
  <si>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</si>
  <si>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</si>
  <si>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</si>
  <si>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</si>
  <si>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</si>
  <si>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</si>
  <si>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</si>
  <si>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</si>
  <si>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</si>
  <si>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</si>
  <si>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</si>
  <si>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</si>
  <si>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</si>
  <si>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</si>
  <si>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</si>
  <si>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</si>
  <si>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</si>
  <si>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</si>
  <si>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</si>
  <si>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</si>
  <si>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</si>
  <si>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</si>
  <si>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</si>
  <si>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</si>
  <si>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</si>
  <si>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</si>
  <si>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</si>
  <si>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</si>
  <si>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</si>
  <si>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</si>
  <si>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</si>
  <si>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</si>
  <si>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</si>
  <si>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</si>
  <si>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</si>
  <si>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</si>
  <si>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</si>
  <si>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</si>
  <si>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</si>
  <si>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</si>
  <si>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</si>
  <si>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</si>
  <si>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</si>
  <si>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</si>
  <si>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</si>
  <si>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</si>
  <si>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</si>
  <si>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</si>
  <si>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</si>
  <si>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</si>
  <si>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</si>
  <si>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</si>
  <si>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</si>
  <si>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</si>
  <si>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</si>
  <si>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</si>
  <si>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</si>
  <si>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</si>
  <si>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</si>
  <si>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</si>
  <si>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</si>
  <si>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</si>
  <si>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</si>
  <si>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</si>
  <si>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</si>
  <si>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</si>
  <si>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</si>
  <si>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</si>
  <si>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</si>
  <si>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</si>
  <si>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</si>
  <si>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</si>
  <si>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</si>
  <si>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</si>
  <si>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</si>
  <si>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</si>
  <si>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</si>
  <si>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</si>
  <si>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</si>
  <si>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</si>
  <si>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</si>
  <si>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</si>
  <si>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</si>
  <si>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</si>
  <si>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</si>
  <si>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</si>
  <si>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</si>
  <si>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</si>
  <si>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</si>
  <si>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</si>
  <si>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</si>
  <si>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</si>
  <si>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</si>
  <si>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</si>
  <si>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</si>
  <si>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</si>
  <si>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</si>
  <si>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</si>
  <si>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</si>
  <si>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</si>
  <si>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</si>
  <si>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</si>
  <si>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</si>
  <si>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</si>
  <si>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</si>
  <si>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</si>
  <si>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</si>
  <si>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</si>
  <si>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</si>
  <si>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</si>
  <si>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</si>
  <si>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</si>
  <si>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</si>
  <si>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</si>
  <si>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</si>
  <si>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</si>
  <si>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</si>
  <si>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</si>
  <si>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</si>
  <si>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</si>
  <si>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</si>
  <si>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</si>
  <si>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</si>
  <si>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</si>
  <si>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</si>
  <si>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</si>
  <si>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</si>
  <si>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</si>
  <si>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</si>
  <si>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</si>
  <si>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</si>
  <si>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</si>
  <si>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</si>
  <si>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</si>
  <si>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</si>
  <si>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</si>
  <si>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</si>
  <si>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</si>
  <si>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</si>
  <si>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</si>
  <si>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</si>
  <si>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</si>
  <si>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</si>
  <si>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</si>
  <si>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</si>
  <si>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</si>
  <si>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</si>
  <si>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</si>
  <si>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</si>
  <si>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</si>
  <si>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</si>
  <si>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</si>
  <si>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</si>
  <si>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</si>
  <si>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</si>
  <si>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</si>
  <si>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</si>
  <si>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</si>
  <si>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</si>
  <si>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</si>
  <si>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</si>
  <si>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</si>
  <si>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</si>
  <si>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</si>
  <si>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</si>
  <si>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</si>
  <si>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</si>
  <si>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</si>
  <si>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</si>
  <si>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</si>
  <si>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</si>
  <si>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</si>
  <si>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</si>
  <si>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</si>
  <si>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</si>
  <si>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</si>
  <si>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</si>
  <si>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</si>
  <si>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</si>
  <si>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</si>
  <si>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</si>
  <si>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</si>
  <si>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</si>
  <si>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</si>
  <si>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</si>
  <si>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</si>
  <si>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</si>
  <si>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</si>
  <si>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</si>
  <si>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</si>
  <si>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</si>
  <si>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</si>
  <si>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</si>
  <si>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</si>
  <si>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</si>
  <si>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</si>
  <si>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</si>
  <si>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</si>
  <si>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</si>
  <si>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</si>
  <si>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</si>
  <si>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</si>
  <si>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</si>
  <si>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</si>
  <si>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</si>
  <si>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</si>
  <si>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</si>
  <si>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</si>
  <si>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</si>
  <si>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</si>
  <si>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</si>
  <si>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</si>
  <si>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</si>
  <si>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</si>
  <si>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</si>
  <si>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</si>
  <si>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</si>
  <si>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</si>
  <si>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</si>
  <si>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</si>
  <si>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</si>
  <si>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</si>
  <si>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</si>
  <si>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</si>
  <si>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</si>
  <si>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</si>
  <si>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</si>
  <si>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</si>
  <si>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</si>
  <si>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</si>
  <si>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</si>
  <si>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</si>
  <si>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</si>
  <si>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</si>
  <si>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</si>
  <si>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</si>
  <si>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</si>
  <si>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</si>
  <si>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</si>
  <si>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</si>
  <si>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</si>
  <si>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</si>
  <si>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</si>
  <si>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</si>
  <si>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</si>
  <si>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</si>
  <si>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</si>
  <si>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</si>
  <si>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</si>
  <si>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</si>
  <si>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</si>
  <si>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</si>
  <si>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</si>
  <si>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</si>
  <si>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</si>
  <si>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</si>
  <si>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</si>
  <si>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</si>
  <si>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</si>
  <si>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</si>
  <si>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</si>
  <si>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</si>
  <si>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</si>
  <si>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</si>
  <si>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</si>
  <si>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</si>
  <si>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</si>
  <si>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</si>
  <si>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</si>
  <si>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</si>
  <si>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</si>
  <si>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</si>
  <si>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</si>
  <si>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</si>
  <si>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</si>
  <si>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</si>
  <si>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</si>
  <si>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</si>
  <si>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</si>
  <si>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</si>
  <si>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</si>
  <si>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</si>
  <si>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</si>
  <si>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</si>
  <si>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</si>
  <si>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</si>
  <si>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</si>
  <si>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</si>
  <si>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</si>
  <si>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</si>
  <si>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</si>
  <si>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</si>
  <si>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</si>
  <si>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</si>
  <si>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</si>
  <si>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</si>
  <si>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</si>
  <si>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</si>
  <si>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</si>
  <si>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</si>
  <si>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</si>
  <si>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</si>
  <si>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</si>
  <si>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</si>
  <si>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</si>
  <si>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</si>
  <si>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</si>
  <si>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</si>
  <si>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</si>
  <si>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</si>
  <si>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</si>
  <si>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</si>
  <si>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</si>
  <si>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</si>
  <si>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</si>
  <si>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</si>
  <si>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</si>
  <si>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</si>
  <si>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</si>
  <si>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</si>
  <si>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</si>
  <si>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</si>
  <si>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</si>
  <si>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</si>
  <si>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</si>
  <si>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</si>
  <si>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</si>
  <si>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</si>
  <si>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</si>
  <si>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</si>
  <si>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</si>
  <si>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</si>
  <si>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</si>
  <si>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</si>
  <si>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</si>
  <si>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</si>
  <si>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</si>
  <si>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</si>
  <si>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</si>
  <si>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</si>
  <si>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</si>
  <si>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</si>
  <si>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</si>
  <si>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</si>
  <si>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</si>
  <si>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</si>
  <si>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</si>
  <si>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</si>
  <si>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</si>
  <si>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</si>
  <si>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</si>
  <si>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</si>
  <si>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</si>
  <si>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</si>
  <si>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</si>
  <si>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</si>
  <si>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</si>
  <si>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</si>
  <si>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</si>
  <si>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</si>
  <si>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</si>
  <si>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</si>
  <si>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</si>
  <si>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</si>
  <si>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</si>
  <si>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</si>
  <si>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</si>
  <si>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</si>
  <si>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</si>
  <si>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</si>
  <si>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</si>
  <si>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</si>
  <si>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</si>
  <si>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</si>
  <si>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</si>
  <si>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</si>
  <si>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</si>
  <si>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</si>
  <si>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</si>
  <si>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</si>
  <si>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</si>
  <si>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</si>
  <si>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</si>
  <si>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</si>
  <si>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</si>
  <si>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</si>
  <si>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</si>
  <si>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</si>
  <si>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</si>
  <si>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</si>
  <si>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</si>
  <si>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</si>
  <si>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</si>
  <si>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</si>
  <si>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</si>
  <si>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</si>
  <si>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</si>
  <si>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</si>
  <si>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</si>
  <si>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</si>
  <si>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</si>
  <si>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</si>
  <si>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</si>
  <si>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</si>
  <si>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</si>
  <si>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</si>
  <si>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</si>
  <si>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</si>
  <si>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</si>
  <si>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</si>
  <si>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</si>
  <si>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</si>
  <si>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</si>
  <si>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</si>
  <si>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</si>
  <si>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</si>
  <si>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</si>
  <si>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</si>
  <si>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</si>
  <si>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</si>
  <si>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</si>
  <si>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</si>
  <si>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</si>
  <si>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</si>
  <si>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</si>
  <si>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</si>
  <si>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</si>
  <si>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</si>
  <si>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</si>
  <si>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</si>
  <si>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</si>
  <si>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</si>
  <si>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</si>
  <si>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</si>
  <si>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</si>
  <si>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</si>
  <si>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</si>
  <si>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</si>
  <si>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</si>
  <si>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</si>
  <si>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</si>
  <si>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</si>
  <si>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</si>
  <si>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</si>
  <si>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</si>
  <si>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</si>
  <si>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</si>
  <si>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</si>
  <si>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</si>
  <si>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</si>
  <si>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</si>
  <si>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</si>
  <si>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</si>
  <si>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</si>
  <si>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</si>
  <si>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</si>
  <si>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</si>
  <si>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</si>
  <si>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</si>
  <si>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</si>
  <si>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</si>
  <si>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</si>
  <si>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</si>
  <si>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</si>
  <si>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</si>
  <si>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</si>
  <si>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</si>
  <si>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</si>
  <si>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</si>
  <si>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</si>
  <si>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</si>
  <si>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</si>
  <si>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</si>
  <si>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</si>
  <si>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</si>
  <si>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</si>
  <si>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</si>
  <si>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</si>
  <si>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</si>
  <si>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</si>
  <si>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</si>
  <si>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</si>
  <si>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</si>
  <si>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</si>
  <si>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</si>
  <si>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</si>
  <si>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</si>
  <si>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</si>
  <si>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</si>
  <si>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</si>
  <si>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</si>
  <si>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</si>
  <si>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</si>
  <si>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</si>
  <si>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</si>
  <si>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</si>
  <si>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</si>
  <si>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</si>
  <si>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</si>
  <si>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</si>
  <si>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</si>
  <si>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</si>
  <si>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</si>
  <si>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</si>
  <si>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</si>
  <si>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</si>
  <si>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</si>
  <si>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</si>
  <si>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</si>
  <si>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</si>
  <si>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</si>
  <si>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</si>
  <si>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</si>
  <si>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</si>
  <si>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</si>
  <si>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</si>
  <si>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</si>
  <si>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</si>
  <si>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</si>
  <si>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</si>
  <si>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</si>
  <si>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</si>
  <si>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</si>
  <si>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</si>
  <si>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</si>
  <si>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</si>
  <si>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</si>
  <si>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</si>
  <si>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</si>
  <si>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</si>
  <si>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</si>
  <si>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</si>
  <si>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</si>
  <si>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</si>
  <si>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</si>
  <si>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</si>
  <si>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</si>
  <si>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</si>
  <si>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</si>
  <si>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</si>
  <si>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</si>
  <si>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</si>
  <si>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</si>
  <si>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</si>
  <si>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</si>
  <si>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</si>
  <si>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</si>
  <si>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</si>
  <si>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</si>
  <si>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</si>
  <si>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</si>
  <si>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</si>
  <si>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</si>
  <si>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</si>
  <si>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</si>
  <si>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</si>
  <si>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</si>
  <si>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</si>
  <si>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</si>
  <si>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</si>
  <si>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</si>
  <si>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</si>
  <si>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</si>
  <si>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</si>
  <si>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</si>
  <si>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</si>
  <si>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</si>
  <si>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</si>
  <si>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</si>
  <si>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</si>
  <si>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</si>
  <si>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</si>
  <si>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</si>
  <si>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</si>
  <si>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</si>
  <si>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</si>
  <si>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</si>
  <si>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</si>
  <si>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</si>
  <si>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</si>
  <si>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</si>
  <si>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</si>
  <si>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</si>
  <si>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</si>
  <si>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</si>
  <si>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</si>
  <si>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</si>
  <si>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</si>
  <si>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</si>
  <si>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</si>
  <si>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</si>
  <si>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</si>
  <si>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</si>
  <si>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</si>
  <si>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</si>
  <si>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</si>
  <si>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</si>
  <si>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</si>
  <si>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</si>
  <si>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</si>
  <si>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</si>
  <si>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</si>
  <si>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</si>
  <si>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</si>
  <si>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</si>
  <si>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</si>
  <si>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</si>
  <si>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</si>
  <si>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</si>
  <si>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</si>
  <si>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</si>
  <si>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</si>
  <si>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</si>
  <si>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</si>
  <si>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</si>
  <si>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</si>
  <si>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</si>
  <si>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</si>
  <si>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</si>
  <si>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</si>
  <si>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</si>
  <si>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</si>
  <si>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</si>
  <si>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</si>
  <si>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</si>
  <si>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</si>
  <si>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</si>
  <si>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</si>
  <si>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</si>
  <si>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</si>
  <si>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</si>
  <si>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</si>
  <si>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</si>
  <si>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</si>
  <si>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</si>
  <si>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</si>
  <si>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</si>
  <si>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</si>
  <si>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</si>
  <si>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</si>
  <si>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</si>
  <si>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</si>
  <si>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</si>
  <si>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</si>
  <si>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</si>
  <si>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</si>
  <si>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</si>
  <si>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</si>
  <si>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</si>
  <si>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</si>
  <si>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</si>
  <si>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</si>
  <si>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</si>
  <si>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</si>
  <si>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</si>
  <si>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</si>
  <si>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</si>
  <si>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</si>
  <si>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</si>
  <si>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</si>
  <si>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</si>
  <si>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</si>
  <si>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</si>
  <si>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</si>
  <si>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</si>
  <si>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</si>
  <si>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</si>
  <si>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</si>
  <si>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</si>
  <si>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</si>
  <si>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</si>
  <si>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</si>
  <si>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</si>
  <si>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</si>
  <si>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</si>
  <si>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</si>
  <si>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</si>
  <si>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</si>
  <si>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</si>
  <si>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</si>
  <si>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</si>
  <si>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</si>
  <si>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</si>
  <si>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</si>
  <si>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</si>
  <si>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</si>
  <si>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</si>
  <si>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</si>
  <si>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</si>
  <si>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</si>
  <si>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</si>
  <si>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</si>
  <si>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</si>
  <si>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</si>
  <si>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</si>
  <si>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</si>
  <si>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</si>
  <si>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</si>
  <si>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</si>
  <si>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</si>
  <si>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</si>
  <si>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</si>
  <si>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</si>
  <si>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</si>
  <si>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</si>
  <si>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</si>
  <si>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</si>
  <si>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</si>
  <si>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</si>
  <si>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</si>
  <si>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</si>
  <si>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</si>
  <si>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</si>
  <si>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</si>
  <si>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</si>
  <si>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</si>
  <si>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</si>
  <si>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</si>
  <si>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</si>
  <si>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</si>
  <si>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</si>
  <si>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</si>
  <si>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</si>
  <si>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</si>
  <si>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</si>
  <si>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</si>
  <si>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</si>
  <si>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</si>
  <si>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</si>
  <si>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</si>
  <si>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</si>
  <si>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</si>
  <si>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</si>
  <si>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</si>
  <si>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</si>
  <si>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</si>
  <si>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</si>
  <si>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</si>
  <si>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</si>
  <si>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</si>
  <si>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</si>
  <si>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</si>
  <si>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</si>
  <si>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</si>
  <si>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</si>
  <si>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</si>
  <si>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</si>
  <si>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</si>
  <si>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</si>
  <si>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</si>
  <si>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</si>
  <si>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</si>
  <si>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</si>
  <si>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</si>
  <si>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</si>
  <si>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</si>
  <si>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</si>
  <si>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</si>
  <si>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</si>
  <si>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</si>
  <si>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</si>
  <si>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</si>
  <si>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</si>
  <si>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</si>
  <si>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</si>
  <si>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</si>
  <si>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</si>
  <si>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</si>
  <si>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</si>
  <si>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</si>
  <si>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</si>
  <si>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</si>
  <si>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</si>
  <si>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</si>
  <si>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</si>
  <si>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</si>
  <si>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</si>
  <si>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</si>
  <si>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</si>
  <si>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</si>
  <si>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</si>
  <si>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</si>
  <si>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</si>
  <si>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</si>
  <si>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</si>
  <si>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</si>
  <si>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</si>
  <si>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</si>
  <si>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</si>
  <si>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</si>
  <si>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</si>
  <si>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</si>
  <si>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</si>
  <si>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</si>
  <si>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</si>
  <si>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</si>
  <si>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</si>
  <si>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</si>
  <si>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</si>
  <si>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</si>
  <si>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</si>
  <si>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</si>
  <si>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</si>
  <si>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</si>
  <si>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</si>
  <si>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</si>
  <si>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</si>
  <si>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</si>
  <si>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</si>
  <si>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</si>
  <si>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</si>
  <si>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</si>
  <si>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</si>
  <si>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</si>
  <si>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</si>
  <si>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</si>
  <si>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</si>
  <si>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</si>
  <si>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</si>
  <si>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</si>
  <si>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</si>
  <si>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</si>
  <si>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</si>
  <si>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</si>
  <si>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</si>
  <si>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</si>
  <si>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</si>
  <si>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</si>
  <si>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</si>
  <si>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</si>
  <si>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</si>
  <si>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</si>
  <si>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</si>
  <si>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</si>
  <si>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</si>
  <si>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</si>
  <si>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</si>
  <si>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</si>
  <si>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</si>
  <si>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</si>
  <si>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</si>
  <si>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</si>
  <si>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</si>
  <si>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</si>
  <si>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</si>
  <si>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</si>
  <si>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</si>
  <si>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</si>
  <si>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</si>
  <si>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</si>
  <si>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</si>
  <si>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</si>
  <si>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</si>
  <si>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</si>
  <si>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</si>
  <si>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</si>
  <si>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</si>
  <si>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</si>
  <si>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</si>
  <si>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</si>
  <si>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</si>
  <si>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</si>
  <si>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</si>
  <si>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</si>
  <si>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</si>
  <si>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</si>
  <si>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</si>
  <si>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</si>
  <si>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</si>
  <si>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</si>
  <si>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</si>
  <si>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</si>
  <si>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</si>
  <si>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</si>
  <si>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</si>
  <si>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</si>
  <si>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</si>
  <si>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</si>
  <si>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</si>
  <si>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</si>
  <si>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</si>
  <si>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</si>
  <si>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</si>
  <si>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</si>
  <si>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</si>
  <si>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</si>
  <si>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</si>
  <si>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</si>
  <si>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</si>
  <si>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</si>
  <si>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</si>
  <si>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</si>
  <si>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</si>
  <si>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</si>
  <si>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</si>
  <si>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</si>
  <si>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</si>
  <si>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</si>
  <si>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</si>
  <si>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</si>
  <si>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</si>
  <si>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</si>
  <si>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</si>
  <si>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</si>
  <si>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</si>
  <si>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</si>
  <si>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</si>
  <si>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</si>
  <si>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</si>
  <si>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</si>
  <si>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</si>
  <si>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</si>
  <si>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</si>
  <si>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</si>
  <si>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</si>
  <si>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</si>
  <si>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</si>
  <si>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</si>
  <si>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</si>
  <si>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</si>
  <si>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</si>
  <si>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</si>
  <si>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</si>
  <si>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</si>
  <si>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</si>
  <si>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</si>
  <si>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</si>
  <si>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</si>
  <si>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</si>
  <si>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</si>
  <si>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</si>
  <si>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</si>
  <si>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</si>
  <si>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</si>
  <si>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</si>
  <si>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</si>
  <si>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</si>
  <si>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</si>
  <si>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</si>
  <si>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</si>
  <si>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</si>
  <si>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</si>
  <si>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</si>
  <si>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</si>
  <si>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</si>
  <si>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</si>
  <si>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</si>
  <si>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</si>
  <si>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</si>
  <si>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</si>
  <si>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</si>
  <si>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</si>
  <si>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</si>
  <si>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</si>
  <si>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</si>
  <si>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</si>
  <si>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</si>
  <si>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</si>
  <si>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</si>
  <si>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</si>
  <si>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</si>
  <si>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</si>
  <si>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</si>
  <si>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</si>
  <si>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</si>
  <si>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</si>
  <si>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</si>
  <si>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</si>
  <si>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</si>
  <si>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</si>
  <si>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</si>
  <si>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</si>
  <si>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</si>
  <si>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</si>
  <si>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</si>
  <si>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</si>
  <si>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</si>
  <si>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</si>
  <si>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</si>
  <si>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</si>
  <si>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</si>
  <si>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</si>
  <si>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</si>
  <si>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</si>
  <si>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</si>
  <si>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</si>
  <si>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</si>
  <si>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</si>
  <si>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</si>
  <si>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</si>
  <si>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</si>
  <si>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</si>
  <si>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</si>
  <si>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</si>
  <si>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</si>
  <si>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</si>
  <si>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</si>
  <si>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</si>
  <si>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</si>
  <si>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</si>
  <si>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</si>
  <si>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</si>
  <si>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</si>
  <si>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</si>
  <si>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</si>
  <si>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</si>
  <si>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</si>
  <si>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</si>
  <si>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</si>
  <si>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</si>
  <si>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</si>
  <si>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</si>
  <si>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</si>
  <si>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</si>
  <si>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</si>
  <si>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</si>
  <si>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</si>
  <si>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</si>
  <si>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</si>
  <si>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</si>
  <si>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</si>
  <si>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</si>
  <si>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</si>
  <si>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</si>
  <si>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</si>
  <si>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</si>
  <si>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</si>
  <si>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</si>
  <si>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</si>
  <si>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</si>
  <si>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</si>
  <si>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</si>
  <si>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</si>
  <si>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</si>
  <si>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</si>
  <si>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</si>
  <si>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</si>
  <si>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</si>
  <si>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</si>
  <si>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</si>
  <si>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</si>
  <si>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</si>
  <si>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</si>
  <si>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</si>
  <si>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</si>
  <si>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</si>
  <si>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</si>
  <si>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</si>
  <si>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</si>
  <si>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</si>
  <si>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</si>
  <si>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</si>
  <si>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</si>
  <si>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</si>
  <si>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</si>
  <si>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</si>
  <si>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</si>
  <si>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</si>
  <si>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</si>
  <si>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</si>
  <si>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</si>
  <si>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</si>
  <si>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</si>
  <si>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</si>
  <si>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</si>
  <si>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</si>
  <si>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</si>
  <si>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</si>
  <si>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</si>
  <si>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</si>
  <si>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</si>
  <si>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</si>
  <si>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</si>
  <si>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</si>
  <si>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</si>
  <si>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</si>
  <si>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</si>
  <si>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</si>
  <si>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</si>
  <si>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</si>
  <si>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</si>
  <si>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</si>
  <si>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</si>
  <si>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</si>
  <si>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</si>
  <si>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</si>
  <si>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</si>
  <si>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</si>
  <si>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</si>
  <si>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</si>
  <si>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</si>
  <si>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</si>
  <si>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</si>
  <si>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</si>
  <si>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</si>
  <si>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</si>
  <si>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</si>
  <si>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</si>
  <si>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</si>
  <si>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</si>
  <si>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</si>
  <si>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</si>
  <si>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</si>
  <si>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</si>
  <si>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</si>
  <si>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</si>
  <si>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</si>
  <si>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</si>
  <si>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</si>
  <si>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</si>
  <si>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</si>
  <si>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</si>
  <si>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</si>
  <si>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</si>
  <si>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</si>
  <si>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</si>
  <si>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</si>
  <si>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</si>
  <si>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</si>
  <si>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</si>
  <si>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</si>
  <si>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</si>
  <si>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</si>
  <si>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</si>
  <si>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</si>
  <si>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</si>
  <si>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</si>
  <si>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</si>
  <si>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</si>
  <si>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</si>
  <si>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</si>
  <si>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</si>
  <si>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</si>
  <si>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</si>
  <si>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</si>
  <si>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</si>
  <si>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</si>
  <si>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</si>
  <si>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</si>
  <si>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</si>
  <si>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</si>
  <si>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</si>
  <si>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</si>
  <si>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</si>
  <si>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</si>
  <si>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</si>
  <si>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</si>
  <si>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</si>
  <si>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</si>
  <si>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</si>
  <si>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</si>
  <si>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</si>
  <si>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</si>
  <si>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</si>
  <si>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</si>
  <si>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</si>
  <si>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</si>
  <si>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</si>
  <si>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</si>
  <si>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</si>
  <si>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</si>
  <si>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</si>
  <si>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</si>
  <si>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</si>
  <si>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</si>
  <si>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</si>
  <si>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</si>
  <si>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</si>
  <si>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</si>
  <si>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</si>
  <si>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</si>
  <si>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</si>
  <si>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</si>
  <si>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</si>
  <si>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</si>
  <si>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</si>
  <si>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</si>
  <si>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</si>
  <si>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</si>
  <si>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</si>
  <si>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</si>
  <si>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</si>
  <si>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</si>
  <si>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</si>
  <si>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</si>
  <si>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</si>
  <si>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</si>
  <si>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</si>
  <si>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</si>
  <si>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</si>
  <si>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</si>
  <si>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</si>
  <si>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</si>
  <si>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</si>
  <si>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</si>
  <si>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</si>
  <si>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</si>
  <si>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</si>
  <si>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</si>
  <si>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</si>
  <si>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</si>
  <si>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</si>
  <si>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</si>
  <si>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</si>
  <si>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</si>
  <si>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</si>
  <si>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</si>
  <si>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</si>
  <si>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</si>
  <si>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</si>
  <si>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</si>
  <si>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</si>
  <si>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</si>
  <si>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</si>
  <si>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</si>
  <si>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</si>
  <si>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</si>
  <si>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</si>
  <si>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</si>
  <si>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</si>
  <si>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</si>
  <si>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</si>
  <si>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</si>
  <si>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</si>
  <si>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</si>
  <si>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</si>
  <si>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</si>
  <si>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</si>
  <si>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</si>
  <si>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</si>
  <si>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</si>
  <si>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</si>
  <si>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</si>
  <si>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</si>
  <si>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</si>
  <si>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</si>
  <si>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</si>
  <si>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</si>
  <si>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</si>
  <si>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</si>
  <si>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</si>
  <si>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</si>
  <si>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</si>
  <si>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</si>
  <si>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</si>
  <si>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</si>
  <si>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</si>
  <si>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</si>
  <si>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</si>
  <si>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</si>
  <si>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</si>
  <si>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</si>
  <si>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</si>
  <si>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</si>
  <si>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</si>
  <si>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</si>
  <si>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</si>
  <si>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</si>
  <si>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</si>
  <si>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</si>
  <si>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</si>
  <si>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</si>
  <si>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</si>
  <si>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</si>
  <si>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</si>
  <si>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</si>
  <si>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</si>
  <si>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</si>
  <si>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</si>
  <si>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</si>
  <si>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</si>
  <si>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</si>
  <si>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</si>
  <si>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</si>
  <si>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</si>
  <si>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</si>
  <si>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</si>
  <si>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</si>
  <si>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</si>
  <si>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</si>
  <si>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</si>
  <si>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</si>
  <si>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</si>
  <si>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</si>
  <si>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</si>
  <si>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</si>
  <si>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</si>
  <si>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</si>
  <si>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</si>
  <si>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</si>
  <si>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</si>
  <si>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</si>
  <si>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</si>
  <si>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</si>
  <si>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</si>
  <si>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</si>
  <si>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</si>
  <si>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</si>
  <si>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</si>
  <si>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</si>
  <si>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</si>
  <si>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</si>
  <si>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</si>
  <si>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</si>
  <si>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</si>
  <si>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</si>
  <si>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</si>
  <si>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</si>
  <si>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</si>
  <si>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</si>
  <si>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</si>
  <si>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</si>
  <si>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</si>
  <si>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</si>
  <si>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</si>
  <si>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</si>
  <si>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</si>
  <si>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</si>
  <si>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</si>
  <si>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</si>
  <si>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</si>
  <si>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</si>
  <si>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</si>
  <si>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</si>
  <si>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</si>
  <si>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</si>
  <si>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</si>
  <si>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</si>
  <si>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</si>
  <si>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</si>
  <si>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</si>
  <si>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</si>
  <si>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</si>
  <si>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</si>
  <si>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</si>
  <si>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</si>
  <si>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</si>
  <si>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</si>
  <si>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</si>
  <si>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</si>
  <si>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</si>
  <si>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</si>
  <si>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</si>
  <si>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</si>
  <si>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</si>
  <si>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</si>
  <si>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</si>
  <si>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</si>
  <si>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</si>
  <si>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</si>
  <si>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</si>
  <si>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</si>
  <si>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</si>
  <si>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</si>
  <si>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</si>
  <si>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</si>
  <si>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</si>
  <si>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</si>
  <si>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</si>
  <si>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</si>
  <si>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</si>
  <si>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</si>
  <si>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</si>
  <si>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</si>
  <si>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</si>
  <si>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</si>
  <si>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</si>
  <si>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</si>
  <si>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</si>
  <si>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</si>
  <si>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</si>
  <si>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</si>
  <si>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</si>
  <si>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</si>
  <si>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</si>
  <si>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</si>
  <si>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</si>
  <si>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</si>
  <si>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</si>
  <si>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</si>
  <si>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</si>
  <si>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</si>
  <si>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</si>
  <si>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</si>
  <si>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</si>
  <si>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</si>
  <si>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</si>
  <si>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</si>
  <si>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</si>
  <si>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</si>
  <si>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</si>
  <si>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</si>
  <si>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</si>
  <si>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</si>
  <si>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</si>
  <si>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</si>
  <si>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</si>
  <si>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</si>
  <si>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</si>
  <si>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</si>
  <si>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</si>
  <si>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</si>
  <si>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</si>
  <si>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</si>
  <si>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</si>
  <si>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</si>
  <si>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</si>
  <si>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</si>
  <si>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</si>
  <si>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</si>
  <si>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</si>
  <si>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</si>
  <si>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</si>
  <si>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</si>
  <si>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</si>
  <si>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</si>
  <si>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</si>
  <si>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</si>
  <si>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</si>
  <si>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</si>
  <si>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</si>
  <si>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</si>
  <si>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</si>
  <si>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</si>
  <si>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</si>
  <si>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</si>
  <si>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</si>
  <si>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</si>
  <si>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</si>
  <si>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</si>
  <si>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</si>
  <si>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</si>
  <si>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</si>
  <si>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</si>
  <si>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</si>
  <si>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</si>
  <si>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</si>
  <si>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</si>
  <si>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</si>
  <si>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</si>
  <si>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</si>
  <si>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</si>
  <si>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</si>
  <si>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</si>
  <si>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</si>
  <si>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</si>
  <si>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</si>
  <si>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</si>
  <si>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</si>
  <si>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</si>
  <si>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</si>
  <si>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</si>
  <si>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</si>
  <si>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</si>
  <si>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</si>
  <si>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</si>
  <si>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</si>
  <si>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</si>
  <si>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</si>
  <si>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</si>
  <si>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</si>
  <si>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</si>
  <si>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</si>
  <si>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</si>
  <si>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</si>
  <si>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</si>
  <si>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</si>
  <si>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</si>
  <si>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</si>
  <si>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</si>
  <si>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</si>
  <si>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</si>
  <si>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</si>
  <si>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</si>
  <si>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</si>
  <si>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</si>
  <si>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</si>
  <si>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</si>
  <si>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</si>
  <si>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</si>
  <si>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</si>
  <si>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</si>
  <si>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</si>
  <si>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</si>
  <si>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</si>
  <si>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</si>
  <si>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</si>
  <si>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</si>
  <si>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</si>
  <si>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</si>
  <si>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</si>
  <si>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</si>
  <si>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</si>
  <si>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</si>
  <si>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</si>
  <si>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</si>
  <si>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</si>
  <si>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</si>
  <si>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</si>
  <si>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</si>
  <si>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</si>
  <si>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</si>
  <si>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</si>
  <si>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</si>
  <si>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</si>
  <si>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</si>
  <si>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</si>
  <si>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</si>
  <si>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</si>
  <si>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</si>
  <si>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</si>
  <si>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</si>
  <si>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</si>
  <si>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</si>
  <si>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</si>
  <si>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</si>
  <si>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</si>
  <si>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</si>
  <si>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</si>
  <si>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</si>
  <si>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</si>
  <si>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</si>
  <si>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</si>
  <si>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</si>
  <si>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</si>
  <si>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</si>
  <si>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</si>
  <si>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</si>
  <si>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</si>
  <si>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</si>
  <si>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</si>
  <si>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</si>
  <si>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</si>
  <si>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</si>
  <si>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</si>
  <si>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</si>
  <si>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</si>
  <si>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</si>
  <si>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</si>
  <si>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</si>
  <si>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</si>
  <si>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</si>
  <si>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</si>
  <si>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</si>
  <si>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</si>
  <si>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</si>
  <si>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</si>
  <si>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</si>
  <si>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</si>
  <si>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</si>
  <si>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</si>
  <si>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</si>
  <si>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</si>
  <si>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</si>
  <si>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</si>
  <si>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</si>
  <si>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</si>
  <si>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</si>
  <si>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</si>
  <si>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</si>
  <si>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</si>
  <si>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</si>
  <si>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</si>
  <si>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</si>
  <si>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</si>
  <si>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</si>
  <si>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</si>
  <si>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</si>
  <si>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</si>
  <si>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</si>
  <si>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</si>
  <si>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</si>
  <si>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</si>
  <si>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</si>
  <si>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</si>
  <si>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</si>
  <si>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</si>
  <si>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</si>
  <si>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</si>
  <si>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</si>
  <si>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</si>
  <si>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</si>
  <si>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</si>
  <si>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</si>
  <si>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</si>
  <si>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</si>
  <si>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</si>
  <si>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</si>
  <si>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</si>
  <si>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</si>
  <si>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</si>
  <si>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</si>
  <si>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</si>
  <si>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</si>
  <si>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</si>
  <si>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</si>
  <si>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</si>
  <si>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</si>
  <si>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</si>
  <si>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</si>
  <si>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</si>
  <si>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</si>
  <si>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</si>
  <si>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</si>
  <si>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</si>
  <si>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</si>
  <si>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</si>
  <si>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</si>
  <si>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</si>
  <si>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</si>
  <si>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</si>
  <si>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</si>
  <si>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</si>
  <si>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</si>
  <si>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</si>
  <si>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</si>
  <si>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</si>
  <si>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</si>
  <si>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</si>
  <si>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</si>
  <si>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</si>
  <si>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</si>
  <si>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</si>
  <si>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</si>
  <si>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</si>
  <si>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</si>
  <si>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</si>
  <si>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</si>
  <si>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</si>
  <si>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</si>
  <si>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</si>
  <si>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</si>
  <si>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</si>
  <si>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</si>
  <si>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</si>
  <si>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</si>
  <si>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</si>
  <si>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</si>
  <si>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</si>
  <si>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</si>
  <si>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</si>
  <si>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</si>
  <si>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</si>
  <si>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</si>
  <si>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</si>
  <si>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</si>
  <si>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</si>
  <si>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</si>
  <si>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</si>
  <si>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</si>
  <si>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</si>
  <si>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</si>
  <si>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</si>
  <si>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</si>
  <si>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</si>
  <si>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</si>
  <si>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</si>
  <si>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</si>
  <si>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</si>
  <si>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</si>
  <si>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</si>
  <si>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</si>
  <si>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</si>
  <si>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</si>
  <si>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</si>
  <si>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</si>
  <si>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</si>
  <si>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</si>
  <si>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</si>
  <si>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</si>
  <si>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</si>
  <si>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</si>
  <si>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</si>
  <si>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</si>
  <si>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</si>
  <si>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</si>
  <si>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</si>
  <si>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</si>
  <si>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</si>
  <si>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</si>
  <si>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</si>
  <si>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</si>
  <si>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</si>
  <si>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</si>
  <si>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</si>
  <si>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</si>
  <si>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</si>
  <si>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</si>
  <si>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</si>
  <si>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</si>
  <si>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</si>
  <si>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</si>
  <si>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</si>
  <si>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</si>
  <si>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</si>
  <si>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</si>
  <si>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</si>
  <si>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</si>
  <si>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</si>
  <si>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</si>
  <si>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</si>
  <si>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</si>
  <si>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</si>
  <si>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</si>
  <si>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</si>
  <si>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</si>
  <si>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</si>
  <si>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</si>
  <si>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</si>
  <si>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</si>
  <si>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</si>
  <si>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</si>
  <si>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</si>
  <si>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</si>
  <si>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</si>
  <si>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</si>
  <si>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</si>
  <si>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</si>
  <si>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</si>
  <si>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</si>
  <si>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</si>
  <si>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</si>
  <si>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</si>
  <si>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</si>
  <si>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</si>
  <si>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</si>
  <si>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</si>
  <si>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</si>
  <si>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</si>
  <si>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</si>
  <si>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</si>
  <si>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</si>
  <si>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</si>
  <si>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</si>
  <si>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</si>
  <si>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</si>
  <si>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</si>
  <si>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</si>
  <si>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</si>
  <si>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</si>
  <si>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</si>
  <si>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</si>
  <si>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</si>
  <si>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</si>
  <si>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</si>
  <si>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</si>
  <si>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</si>
  <si>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</si>
  <si>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</si>
  <si>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</si>
  <si>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</si>
  <si>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</si>
  <si>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</si>
  <si>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</si>
  <si>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</si>
  <si>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</si>
  <si>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</si>
  <si>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</si>
  <si>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</si>
  <si>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</si>
  <si>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</si>
  <si>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</si>
  <si>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</si>
  <si>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</si>
  <si>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</si>
  <si>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</si>
  <si>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</si>
  <si>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</si>
  <si>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</si>
  <si>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</si>
  <si>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</si>
  <si>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</si>
  <si>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</si>
  <si>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</si>
  <si>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</si>
  <si>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</si>
  <si>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</si>
  <si>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</si>
  <si>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</si>
  <si>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</si>
  <si>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</si>
  <si>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</si>
  <si>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</si>
  <si>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</si>
  <si>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</si>
  <si>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</si>
  <si>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</si>
  <si>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</si>
  <si>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</si>
  <si>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</si>
  <si>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</si>
  <si>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</si>
  <si>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</si>
  <si>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</si>
  <si>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</si>
  <si>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</si>
  <si>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</si>
  <si>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</si>
  <si>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</si>
  <si>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</si>
  <si>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</si>
  <si>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</si>
  <si>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</si>
  <si>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</si>
  <si>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</si>
  <si>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</si>
  <si>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</si>
  <si>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</si>
  <si>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</si>
  <si>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</si>
  <si>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</si>
  <si>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</si>
  <si>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</si>
  <si>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</si>
  <si>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</si>
  <si>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</si>
  <si>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</si>
  <si>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</si>
  <si>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</si>
  <si>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</si>
  <si>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</si>
  <si>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</si>
  <si>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</si>
  <si>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</si>
  <si>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</si>
  <si>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</si>
  <si>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</si>
  <si>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</si>
  <si>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</si>
  <si>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</si>
  <si>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</si>
  <si>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</si>
  <si>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</si>
  <si>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</si>
  <si>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</si>
  <si>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</si>
  <si>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</si>
  <si>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</si>
  <si>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</si>
  <si>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</si>
  <si>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</si>
  <si>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</si>
  <si>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</si>
  <si>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</si>
  <si>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</si>
  <si>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</si>
  <si>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</si>
  <si>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</si>
  <si>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</si>
  <si>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</si>
  <si>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</si>
  <si>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</si>
  <si>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</si>
  <si>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</si>
  <si>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</si>
  <si>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</si>
  <si>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</si>
  <si>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</si>
  <si>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</si>
  <si>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</si>
  <si>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</si>
  <si>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</si>
  <si>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</si>
  <si>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</si>
  <si>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</si>
  <si>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</si>
  <si>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</si>
  <si>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</si>
  <si>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</si>
  <si>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</si>
  <si>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</si>
  <si>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</si>
  <si>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</si>
  <si>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</si>
  <si>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</si>
  <si>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</si>
  <si>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</si>
  <si>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</si>
  <si>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</si>
  <si>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</si>
  <si>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</si>
  <si>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</si>
  <si>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</si>
  <si>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</si>
  <si>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</si>
  <si>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</si>
  <si>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</si>
  <si>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</si>
  <si>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</si>
  <si>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</si>
  <si>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</si>
  <si>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</si>
  <si>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</si>
  <si>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</si>
  <si>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</si>
  <si>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</si>
  <si>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</si>
  <si>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</si>
  <si>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</si>
  <si>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</si>
  <si>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</si>
  <si>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</si>
  <si>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</si>
  <si>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</si>
  <si>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</si>
  <si>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</si>
  <si>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</si>
  <si>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</si>
  <si>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</si>
  <si>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</si>
  <si>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</si>
  <si>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</si>
  <si>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</si>
  <si>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</si>
  <si>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</si>
  <si>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</si>
  <si>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</si>
  <si>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</si>
  <si>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</si>
  <si>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</si>
  <si>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</si>
  <si>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</si>
  <si>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</si>
  <si>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</si>
  <si>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</si>
  <si>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</si>
  <si>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</si>
  <si>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</si>
  <si>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</si>
  <si>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</si>
  <si>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</si>
  <si>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</si>
  <si>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</si>
  <si>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</si>
  <si>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</si>
  <si>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</si>
  <si>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</si>
  <si>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</si>
  <si>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</si>
  <si>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</si>
  <si>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</si>
  <si>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</si>
  <si>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</si>
  <si>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</si>
  <si>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</si>
  <si>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</si>
  <si>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</si>
  <si>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</si>
  <si>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</si>
  <si>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</si>
  <si>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</si>
  <si>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</si>
  <si>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</si>
  <si>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</si>
  <si>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</si>
  <si>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</si>
  <si>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</si>
  <si>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</si>
  <si>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</si>
  <si>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</si>
  <si>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</si>
  <si>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</si>
  <si>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</si>
  <si>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</si>
  <si>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</si>
  <si>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</si>
  <si>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</si>
  <si>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</si>
  <si>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</si>
  <si>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</si>
  <si>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</si>
  <si>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</si>
  <si>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</si>
  <si>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</si>
  <si>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</si>
  <si>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</si>
  <si>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</si>
  <si>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</si>
  <si>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</si>
  <si>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</si>
  <si>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</si>
  <si>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</si>
  <si>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</si>
  <si>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</si>
  <si>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</si>
  <si>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</si>
  <si>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</si>
  <si>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</si>
  <si>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</si>
  <si>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</si>
  <si>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</si>
  <si>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</si>
  <si>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</si>
  <si>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</si>
  <si>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</si>
  <si>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</si>
  <si>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</si>
  <si>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</si>
  <si>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</si>
  <si>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</si>
  <si>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</si>
  <si>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</si>
  <si>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</si>
  <si>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</si>
  <si>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</si>
  <si>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</si>
  <si>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</si>
  <si>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</si>
  <si>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</si>
  <si>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</si>
  <si>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</si>
  <si>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</si>
  <si>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</si>
  <si>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</si>
  <si>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</si>
  <si>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</si>
  <si>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</si>
  <si>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</si>
  <si>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</si>
  <si>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</si>
  <si>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</si>
  <si>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</si>
  <si>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</si>
  <si>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</si>
  <si>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</si>
  <si>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</si>
  <si>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</si>
  <si>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</si>
  <si>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</si>
  <si>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</si>
  <si>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</si>
  <si>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</si>
  <si>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</si>
  <si>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</si>
  <si>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</si>
  <si>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</si>
  <si>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</si>
  <si>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</si>
  <si>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</si>
  <si>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</si>
  <si>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</si>
  <si>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</si>
  <si>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</si>
  <si>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</si>
  <si>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</si>
  <si>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</si>
  <si>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</si>
  <si>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</si>
  <si>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</si>
  <si>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</si>
  <si>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</si>
  <si>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</si>
  <si>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</si>
  <si>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</si>
  <si>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</si>
  <si>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</si>
  <si>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</si>
  <si>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</si>
  <si>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</si>
  <si>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</si>
  <si>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</si>
  <si>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</si>
  <si>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</si>
  <si>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</si>
  <si>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</si>
  <si>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</si>
  <si>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</si>
  <si>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</si>
  <si>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</si>
  <si>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</si>
  <si>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</si>
  <si>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</si>
  <si>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</si>
  <si>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</si>
  <si>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</si>
  <si>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</si>
  <si>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</si>
  <si>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</si>
  <si>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</si>
  <si>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</si>
  <si>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</si>
  <si>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</si>
  <si>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</si>
  <si>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</si>
  <si>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</si>
  <si>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</si>
  <si>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</si>
  <si>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</si>
  <si>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</si>
  <si>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</si>
  <si>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</si>
  <si>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</si>
  <si>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</si>
  <si>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</si>
  <si>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</si>
  <si>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</si>
  <si>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</si>
  <si>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</si>
  <si>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</si>
  <si>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</si>
  <si>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</si>
  <si>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</si>
  <si>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</si>
  <si>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</si>
  <si>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</si>
  <si>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</si>
  <si>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</si>
  <si>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</si>
  <si>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</si>
  <si>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</si>
  <si>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</si>
  <si>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</si>
  <si>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</si>
  <si>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</si>
  <si>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</si>
  <si>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</si>
  <si>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</si>
  <si>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</si>
  <si>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</si>
  <si>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</si>
  <si>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</si>
  <si>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</si>
  <si>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</si>
  <si>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</si>
  <si>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</si>
  <si>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</si>
  <si>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</si>
  <si>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</si>
  <si>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</si>
  <si>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</si>
  <si>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</si>
  <si>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</si>
  <si>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</si>
  <si>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</si>
  <si>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</si>
  <si>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</si>
  <si>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</si>
  <si>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</si>
  <si>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</si>
  <si>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</si>
  <si>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</si>
  <si>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</si>
  <si>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</si>
  <si>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</si>
  <si>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</si>
  <si>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</si>
  <si>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</si>
  <si>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</si>
  <si>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</si>
  <si>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</si>
  <si>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</si>
  <si>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</si>
  <si>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</si>
  <si>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</si>
  <si>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</si>
  <si>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</si>
  <si>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</si>
  <si>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</si>
  <si>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</si>
  <si>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</si>
  <si>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</si>
  <si>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</si>
  <si>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</si>
  <si>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</si>
  <si>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</si>
  <si>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</si>
  <si>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</si>
  <si>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</si>
  <si>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</si>
  <si>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</si>
  <si>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</si>
  <si>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</si>
  <si>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</si>
  <si>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</si>
  <si>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</si>
  <si>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</si>
  <si>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</si>
  <si>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</si>
  <si>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</si>
  <si>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</si>
  <si>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</si>
  <si>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</si>
  <si>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</si>
  <si>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</si>
  <si>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</si>
  <si>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</si>
  <si>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</si>
  <si>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</si>
  <si>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</si>
  <si>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</si>
  <si>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</si>
  <si>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</si>
  <si>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</si>
  <si>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</si>
  <si>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</si>
  <si>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</si>
  <si>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</si>
  <si>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</si>
  <si>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</si>
  <si>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</si>
  <si>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</si>
  <si>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</si>
  <si>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</si>
  <si>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</si>
  <si>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</si>
  <si>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</si>
  <si>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</si>
  <si>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</si>
  <si>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</si>
  <si>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</si>
  <si>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</si>
  <si>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</si>
  <si>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</si>
  <si>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</si>
  <si>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</si>
  <si>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</si>
  <si>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</si>
  <si>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</si>
  <si>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</si>
  <si>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</si>
  <si>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</si>
  <si>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</si>
  <si>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</si>
  <si>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</si>
  <si>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</si>
  <si>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</si>
  <si>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</si>
  <si>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</si>
  <si>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</si>
  <si>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</si>
  <si>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</si>
  <si>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</si>
  <si>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</si>
  <si>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</si>
  <si>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</si>
  <si>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</si>
  <si>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</si>
  <si>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</si>
  <si>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</si>
  <si>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</si>
  <si>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</si>
  <si>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</si>
  <si>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</si>
  <si>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</si>
  <si>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</si>
  <si>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</si>
  <si>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</si>
  <si>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</si>
  <si>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</si>
  <si>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</si>
  <si>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</si>
  <si>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</si>
  <si>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</si>
  <si>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</si>
  <si>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</si>
  <si>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</si>
  <si>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</si>
  <si>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</si>
  <si>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</si>
  <si>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</si>
  <si>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</si>
  <si>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</si>
  <si>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</si>
  <si>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</si>
  <si>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</si>
  <si>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</si>
  <si>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</si>
  <si>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</si>
  <si>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</si>
  <si>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</si>
  <si>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</si>
  <si>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</si>
  <si>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</si>
  <si>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</si>
  <si>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</si>
  <si>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</si>
  <si>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</si>
  <si>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</si>
  <si>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</si>
  <si>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</si>
  <si>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</si>
  <si>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</si>
  <si>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</si>
  <si>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</si>
  <si>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</si>
  <si>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</si>
  <si>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</si>
  <si>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</si>
  <si>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</si>
  <si>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</si>
  <si>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</si>
  <si>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</si>
  <si>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</si>
  <si>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</si>
  <si>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</si>
  <si>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</si>
  <si>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</si>
  <si>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</si>
  <si>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</si>
  <si>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</si>
  <si>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</si>
  <si>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</si>
  <si>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</si>
  <si>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</si>
  <si>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</si>
  <si>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</si>
  <si>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</si>
  <si>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</si>
  <si>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</si>
  <si>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</si>
  <si>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</si>
  <si>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</si>
  <si>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</si>
  <si>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</si>
  <si>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</si>
  <si>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</si>
  <si>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</si>
  <si>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</si>
  <si>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</si>
  <si>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</si>
  <si>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</si>
  <si>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</si>
  <si>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</si>
  <si>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</si>
  <si>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</si>
  <si>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</si>
  <si>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</si>
  <si>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</si>
  <si>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</si>
  <si>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</si>
  <si>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</si>
  <si>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</si>
  <si>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</si>
  <si>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</si>
  <si>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</si>
  <si>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</si>
  <si>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</si>
  <si>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</si>
  <si>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</si>
  <si>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</si>
  <si>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</si>
  <si>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</si>
  <si>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</si>
  <si>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</si>
  <si>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</si>
  <si>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</si>
  <si>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</si>
  <si>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</si>
  <si>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</si>
  <si>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</si>
  <si>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</si>
  <si>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</si>
  <si>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</si>
  <si>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</si>
  <si>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</si>
  <si>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</si>
  <si>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</si>
  <si>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</si>
  <si>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</si>
  <si>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</si>
  <si>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</si>
  <si>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</si>
  <si>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</si>
  <si>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</si>
  <si>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</si>
  <si>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</si>
  <si>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</si>
  <si>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</si>
  <si>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</si>
  <si>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</si>
  <si>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</si>
  <si>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</si>
  <si>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</si>
  <si>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</si>
  <si>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</si>
  <si>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</si>
  <si>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</si>
  <si>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</si>
  <si>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</si>
  <si>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</si>
  <si>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</si>
  <si>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</si>
  <si>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</si>
  <si>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</si>
  <si>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</si>
  <si>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</si>
  <si>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</si>
  <si>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</si>
  <si>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</si>
  <si>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</si>
  <si>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</si>
  <si>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</si>
  <si>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</si>
  <si>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</si>
  <si>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</si>
  <si>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</si>
  <si>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</si>
  <si>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</si>
  <si>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</si>
  <si>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</si>
  <si>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</si>
  <si>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</si>
  <si>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</si>
  <si>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</si>
  <si>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</si>
  <si>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</si>
  <si>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</si>
  <si>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</si>
  <si>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</si>
  <si>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</si>
  <si>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</si>
  <si>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</si>
  <si>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</si>
  <si>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</si>
  <si>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</si>
  <si>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</si>
  <si>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</si>
  <si>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</si>
  <si>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</si>
  <si>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</si>
  <si>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</si>
  <si>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</si>
  <si>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</si>
  <si>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</si>
  <si>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</si>
  <si>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</si>
  <si>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</si>
  <si>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</si>
  <si>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</si>
  <si>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</si>
  <si>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</si>
  <si>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</si>
  <si>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</si>
  <si>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</si>
  <si>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</si>
  <si>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</si>
  <si>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</si>
  <si>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</si>
  <si>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</si>
  <si>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</si>
  <si>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</si>
  <si>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</si>
  <si>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</si>
  <si>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</si>
  <si>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</si>
  <si>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</si>
  <si>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</si>
  <si>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</si>
  <si>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</si>
  <si>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</si>
  <si>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</si>
  <si>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</si>
  <si>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</si>
  <si>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</si>
  <si>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</si>
  <si>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</si>
  <si>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</si>
  <si>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</si>
  <si>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</si>
  <si>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</si>
  <si>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</si>
  <si>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</si>
  <si>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</si>
  <si>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</si>
  <si>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</si>
  <si>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</si>
  <si>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</si>
  <si>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</si>
  <si>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</si>
  <si>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</si>
  <si>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</si>
  <si>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</si>
  <si>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</si>
  <si>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</si>
  <si>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</si>
  <si>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</si>
  <si>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</si>
  <si>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</si>
  <si>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</si>
  <si>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</si>
  <si>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</si>
  <si>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</si>
  <si>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</si>
  <si>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</si>
  <si>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</si>
  <si>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</si>
  <si>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</si>
  <si>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</si>
  <si>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</si>
  <si>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</si>
  <si>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</si>
  <si>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</si>
  <si>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</si>
  <si>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</si>
  <si>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</si>
  <si>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</si>
  <si>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</si>
  <si>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</si>
  <si>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</si>
  <si>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</si>
  <si>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</si>
  <si>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</si>
  <si>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</si>
  <si>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</si>
  <si>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</si>
  <si>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</si>
  <si>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</si>
  <si>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</si>
  <si>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</si>
  <si>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</si>
  <si>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</si>
  <si>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</si>
  <si>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</si>
  <si>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</si>
  <si>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</si>
  <si>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</si>
  <si>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</si>
  <si>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</si>
  <si>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</si>
  <si>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</si>
  <si>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</si>
  <si>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</si>
  <si>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</si>
  <si>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</si>
  <si>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</si>
  <si>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</si>
  <si>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</si>
  <si>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</si>
  <si>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</si>
  <si>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</si>
  <si>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</si>
  <si>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</si>
  <si>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</si>
  <si>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</si>
  <si>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</si>
  <si>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</si>
  <si>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</si>
  <si>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</si>
  <si>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</si>
  <si>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</si>
  <si>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</si>
  <si>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</si>
  <si>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</si>
  <si>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</si>
  <si>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</si>
  <si>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</si>
  <si>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</si>
  <si>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</si>
  <si>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</si>
  <si>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</si>
  <si>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</si>
  <si>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</si>
  <si>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</si>
  <si>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</si>
  <si>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</si>
  <si>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</si>
  <si>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</si>
  <si>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</si>
  <si>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</si>
  <si>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</si>
  <si>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</si>
  <si>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</si>
  <si>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</si>
  <si>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</si>
  <si>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</si>
  <si>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</si>
  <si>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</si>
  <si>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</si>
  <si>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</si>
  <si>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</si>
  <si>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</si>
  <si>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</si>
  <si>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</si>
  <si>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</si>
  <si>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</si>
  <si>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</si>
  <si>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</si>
  <si>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</si>
  <si>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</si>
  <si>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</si>
  <si>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</si>
  <si>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</si>
  <si>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</si>
  <si>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</si>
  <si>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</si>
  <si>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</si>
  <si>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</si>
  <si>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</si>
  <si>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</si>
  <si>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</si>
  <si>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</si>
  <si>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</si>
  <si>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</si>
  <si>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</si>
  <si>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</si>
  <si>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</si>
  <si>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</si>
  <si>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</si>
  <si>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</si>
  <si>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</si>
  <si>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</si>
  <si>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</si>
  <si>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</si>
  <si>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</si>
  <si>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</si>
  <si>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</si>
  <si>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</si>
  <si>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</si>
  <si>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</si>
  <si>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</si>
  <si>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</si>
  <si>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</si>
  <si>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</si>
  <si>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</si>
  <si>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</si>
  <si>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</si>
  <si>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</si>
  <si>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</si>
  <si>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</si>
  <si>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</si>
  <si>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</si>
  <si>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</si>
  <si>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</si>
  <si>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</si>
  <si>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</si>
  <si>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</si>
  <si>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</si>
  <si>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</si>
  <si>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</si>
  <si>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</si>
  <si>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</si>
  <si>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</si>
  <si>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</si>
  <si>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</si>
  <si>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</si>
  <si>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</si>
  <si>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</si>
  <si>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</si>
  <si>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</si>
  <si>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</si>
  <si>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</si>
  <si>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</si>
  <si>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</si>
  <si>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</si>
  <si>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</si>
  <si>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</si>
  <si>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</si>
  <si>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</si>
  <si>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</si>
  <si>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</si>
  <si>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</si>
  <si>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</si>
  <si>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</si>
  <si>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</si>
  <si>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</si>
  <si>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</si>
  <si>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</si>
  <si>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</si>
  <si>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</si>
  <si>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</si>
  <si>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</si>
  <si>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</si>
  <si>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</si>
  <si>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</si>
  <si>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</si>
  <si>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</si>
  <si>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</si>
  <si>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</si>
  <si>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</si>
  <si>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</si>
  <si>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</si>
  <si>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</si>
  <si>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</si>
  <si>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</si>
  <si>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</si>
  <si>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</si>
  <si>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</si>
  <si>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</si>
  <si>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</si>
  <si>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</si>
  <si>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</si>
  <si>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</si>
  <si>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</si>
  <si>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</si>
  <si>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</si>
  <si>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</si>
  <si>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</si>
  <si>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</si>
  <si>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</si>
  <si>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</si>
  <si>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</si>
  <si>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</si>
  <si>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</si>
  <si>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</si>
  <si>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</si>
  <si>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</si>
  <si>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</si>
  <si>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</si>
  <si>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</si>
  <si>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</si>
  <si>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</si>
  <si>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</si>
  <si>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</si>
  <si>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</si>
  <si>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</si>
  <si>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</si>
  <si>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</si>
  <si>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</si>
  <si>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</si>
  <si>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</si>
  <si>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</si>
  <si>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</si>
  <si>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</si>
  <si>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</si>
  <si>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</si>
  <si>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</si>
  <si>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</si>
  <si>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</si>
  <si>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</si>
  <si>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</si>
  <si>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</si>
  <si>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</si>
  <si>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</si>
  <si>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</si>
  <si>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</si>
  <si>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</si>
  <si>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</si>
  <si>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</si>
  <si>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</si>
  <si>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</si>
  <si>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</si>
  <si>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</si>
  <si>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</si>
  <si>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</si>
  <si>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</si>
  <si>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</si>
  <si>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</si>
  <si>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</si>
  <si>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</si>
  <si>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</si>
  <si>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</si>
  <si>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</si>
  <si>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</si>
  <si>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</si>
  <si>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</si>
  <si>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</si>
  <si>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</si>
  <si>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</si>
  <si>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</si>
  <si>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</si>
  <si>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</si>
  <si>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</si>
  <si>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</si>
  <si>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</si>
  <si>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</si>
  <si>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</si>
  <si>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</si>
  <si>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</si>
  <si>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</si>
  <si>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</si>
  <si>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</si>
  <si>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</si>
  <si>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</si>
  <si>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</si>
  <si>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</si>
  <si>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</si>
  <si>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</si>
  <si>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</si>
  <si>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</si>
  <si>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</si>
  <si>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</si>
  <si>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</si>
  <si>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</si>
  <si>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</si>
  <si>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</si>
  <si>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</si>
  <si>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</si>
  <si>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</si>
  <si>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</si>
  <si>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</si>
  <si>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</si>
  <si>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</si>
  <si>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</si>
  <si>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</si>
  <si>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</si>
  <si>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</si>
  <si>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</si>
  <si>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</si>
  <si>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</si>
  <si>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</si>
  <si>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</si>
  <si>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</si>
  <si>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</si>
  <si>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</si>
  <si>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</si>
  <si>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</si>
  <si>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</si>
  <si>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</si>
  <si>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</si>
  <si>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</si>
  <si>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</si>
  <si>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</si>
  <si>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</si>
  <si>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</si>
  <si>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</si>
  <si>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</si>
  <si>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</si>
  <si>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</si>
  <si>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</si>
  <si>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</si>
  <si>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</si>
  <si>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</si>
  <si>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</si>
  <si>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</si>
  <si>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</si>
  <si>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</si>
  <si>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</si>
  <si>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</si>
  <si>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</si>
  <si>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</si>
  <si>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</si>
  <si>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</si>
  <si>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</si>
  <si>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</si>
  <si>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</si>
  <si>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</si>
  <si>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</si>
  <si>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</si>
  <si>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</si>
  <si>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</si>
  <si>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</si>
  <si>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</si>
  <si>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</si>
  <si>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</si>
  <si>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</si>
  <si>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</si>
  <si>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</si>
  <si>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</si>
  <si>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</si>
  <si>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</si>
  <si>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</si>
  <si>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</si>
  <si>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</si>
  <si>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</si>
  <si>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</si>
  <si>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</si>
  <si>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</si>
  <si>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</si>
  <si>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</si>
  <si>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</si>
  <si>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</si>
  <si>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</si>
  <si>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</si>
  <si>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</si>
  <si>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</si>
  <si>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</si>
  <si>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</si>
  <si>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</si>
  <si>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</si>
  <si>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</si>
  <si>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</si>
  <si>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</si>
  <si>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</si>
  <si>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</si>
  <si>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</si>
  <si>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</si>
  <si>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</si>
  <si>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</si>
  <si>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</si>
  <si>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</si>
  <si>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</si>
  <si>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</si>
  <si>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</si>
  <si>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</si>
  <si>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</si>
  <si>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</si>
  <si>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</si>
  <si>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</si>
  <si>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</si>
  <si>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</si>
  <si>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</si>
  <si>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</si>
  <si>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</si>
  <si>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</si>
  <si>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</si>
  <si>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</si>
  <si>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</si>
  <si>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</si>
  <si>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</si>
  <si>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</si>
  <si>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</si>
  <si>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</si>
  <si>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</si>
  <si>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</si>
  <si>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</si>
  <si>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</si>
  <si>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</si>
  <si>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</si>
  <si>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</si>
  <si>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</si>
  <si>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</si>
  <si>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</si>
  <si>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</si>
  <si>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</si>
  <si>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</si>
  <si>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</si>
  <si>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</si>
  <si>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</si>
  <si>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</si>
  <si>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</si>
  <si>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</si>
  <si>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</si>
  <si>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</si>
  <si>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</si>
  <si>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</si>
  <si>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</si>
  <si>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</si>
  <si>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</si>
  <si>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</si>
  <si>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</si>
  <si>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</si>
  <si>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</si>
  <si>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</si>
  <si>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</si>
  <si>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</si>
  <si>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</si>
  <si>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</si>
  <si>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</si>
  <si>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</si>
  <si>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</si>
  <si>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</si>
  <si>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</si>
  <si>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</si>
  <si>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</si>
  <si>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</si>
  <si>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</si>
  <si>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</si>
  <si>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</si>
  <si>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</si>
  <si>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</si>
  <si>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</si>
  <si>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</si>
  <si>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</si>
  <si>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</si>
  <si>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</si>
  <si>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</si>
  <si>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</si>
  <si>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</si>
  <si>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</si>
  <si>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</si>
  <si>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</si>
  <si>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</si>
  <si>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</si>
  <si>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</si>
  <si>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</si>
  <si>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</si>
  <si>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</si>
  <si>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</si>
  <si>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</si>
  <si>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</si>
  <si>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</si>
  <si>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</si>
  <si>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</si>
  <si>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</si>
  <si>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</si>
  <si>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</si>
  <si>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</si>
  <si>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</si>
  <si>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</si>
  <si>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</si>
  <si>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</si>
  <si>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</si>
  <si>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</si>
  <si>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</si>
  <si>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</si>
  <si>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</si>
  <si>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</si>
  <si>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</si>
  <si>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</si>
  <si>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</si>
  <si>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</si>
  <si>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</si>
  <si>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</si>
  <si>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</si>
  <si>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</si>
  <si>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</si>
  <si>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</si>
  <si>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</si>
  <si>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</si>
  <si>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</si>
  <si>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</si>
  <si>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</si>
  <si>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</si>
  <si>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</si>
  <si>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</si>
  <si>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</si>
  <si>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</si>
  <si>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</si>
  <si>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</si>
  <si>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</si>
  <si>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</si>
  <si>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</si>
  <si>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</si>
  <si>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</si>
  <si>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</si>
  <si>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</si>
  <si>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</si>
  <si>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</si>
  <si>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</si>
  <si>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</si>
  <si>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</si>
  <si>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</si>
  <si>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</si>
  <si>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</si>
  <si>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</si>
  <si>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</si>
  <si>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</si>
  <si>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</si>
  <si>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</si>
  <si>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</si>
  <si>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</si>
  <si>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</si>
  <si>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</si>
  <si>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</si>
  <si>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</si>
  <si>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</si>
  <si>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</si>
  <si>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</si>
  <si>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</si>
  <si>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</si>
  <si>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</si>
  <si>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</si>
  <si>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</si>
  <si>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</si>
  <si>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</si>
  <si>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</si>
  <si>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</si>
  <si>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</si>
  <si>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</si>
  <si>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</si>
  <si>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</si>
  <si>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</si>
  <si>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</si>
  <si>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</si>
  <si>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</si>
  <si>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</si>
  <si>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</si>
  <si>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</si>
  <si>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</si>
  <si>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</si>
  <si>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</si>
  <si>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</si>
  <si>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</si>
  <si>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</si>
  <si>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</si>
  <si>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</si>
  <si>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</si>
  <si>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</si>
  <si>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</si>
  <si>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</si>
  <si>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</si>
  <si>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</si>
  <si>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</si>
  <si>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</si>
  <si>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</si>
  <si>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</si>
  <si>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</si>
  <si>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</si>
  <si>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</si>
  <si>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</si>
  <si>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</si>
  <si>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</si>
  <si>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</si>
  <si>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</si>
  <si>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</si>
  <si>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</si>
  <si>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</si>
  <si>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</si>
  <si>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</si>
  <si>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</si>
  <si>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</si>
  <si>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</si>
  <si>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</si>
  <si>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</si>
  <si>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</si>
  <si>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</si>
  <si>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</si>
  <si>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</si>
  <si>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</si>
  <si>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</si>
  <si>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</si>
  <si>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</si>
  <si>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</si>
  <si>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</si>
  <si>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</si>
  <si>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</si>
  <si>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</si>
  <si>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</si>
  <si>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</si>
  <si>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</si>
  <si>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</si>
  <si>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</si>
  <si>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</si>
  <si>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</si>
  <si>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</si>
  <si>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</si>
  <si>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</si>
  <si>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</si>
  <si>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</si>
  <si>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</si>
  <si>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</si>
  <si>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</si>
  <si>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</si>
  <si>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</si>
  <si>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</si>
  <si>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</si>
  <si>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</si>
  <si>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</si>
  <si>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</si>
  <si>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</si>
  <si>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</si>
  <si>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</si>
  <si>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</si>
  <si>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</si>
  <si>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</si>
  <si>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</si>
  <si>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</si>
  <si>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</si>
  <si>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</si>
  <si>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</si>
  <si>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</si>
  <si>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</si>
  <si>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</si>
  <si>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</si>
  <si>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</si>
  <si>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</si>
  <si>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</si>
  <si>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</si>
  <si>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</si>
  <si>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</si>
  <si>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</si>
  <si>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</si>
  <si>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</si>
  <si>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</si>
  <si>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</si>
  <si>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</si>
  <si>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</si>
  <si>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</si>
  <si>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</si>
  <si>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</si>
  <si>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</si>
  <si>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</si>
  <si>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</si>
  <si>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</si>
  <si>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</si>
  <si>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</si>
  <si>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</si>
  <si>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</si>
  <si>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</si>
  <si>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</si>
  <si>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</si>
  <si>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</si>
  <si>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</si>
  <si>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</si>
  <si>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</si>
  <si>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</si>
  <si>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</si>
  <si>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</si>
  <si>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</si>
  <si>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</si>
  <si>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</si>
  <si>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</si>
  <si>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</si>
  <si>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</si>
  <si>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</si>
  <si>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</si>
  <si>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</si>
  <si>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</si>
  <si>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</si>
  <si>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</si>
  <si>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</si>
  <si>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</si>
  <si>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</si>
  <si>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</si>
  <si>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</si>
  <si>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</si>
  <si>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</si>
  <si>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</si>
  <si>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</si>
  <si>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</si>
  <si>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</si>
  <si>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</si>
  <si>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</si>
  <si>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</si>
  <si>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</si>
  <si>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</si>
  <si>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</si>
  <si>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</si>
  <si>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</si>
  <si>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</si>
  <si>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</si>
  <si>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</si>
  <si>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</si>
  <si>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</si>
  <si>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</si>
  <si>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</si>
  <si>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</si>
  <si>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</si>
  <si>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</si>
  <si>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</si>
  <si>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</si>
  <si>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</si>
  <si>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</si>
  <si>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</si>
  <si>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</si>
  <si>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</si>
  <si>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</si>
  <si>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</si>
  <si>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</si>
  <si>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</si>
  <si>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</si>
  <si>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</si>
  <si>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</si>
  <si>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</si>
  <si>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</si>
  <si>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</si>
  <si>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</si>
  <si>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</si>
  <si>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</si>
  <si>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</si>
  <si>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</si>
  <si>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</si>
  <si>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</si>
  <si>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</si>
  <si>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</si>
  <si>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</si>
  <si>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</si>
  <si>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</si>
  <si>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</si>
  <si>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</si>
  <si>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</si>
  <si>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</si>
  <si>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</si>
  <si>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</si>
  <si>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</si>
  <si>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</si>
  <si>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</si>
  <si>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</si>
  <si>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</si>
  <si>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</si>
  <si>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</si>
  <si>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</si>
  <si>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</si>
  <si>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</si>
  <si>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</si>
  <si>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</si>
  <si>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</si>
  <si>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</si>
  <si>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</si>
  <si>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</si>
  <si>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</si>
  <si>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</si>
  <si>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</si>
  <si>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</si>
  <si>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</si>
  <si>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</si>
  <si>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</si>
  <si>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</si>
  <si>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</si>
  <si>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</si>
  <si>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</si>
  <si>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</si>
  <si>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</si>
  <si>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</si>
  <si>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</si>
  <si>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</si>
  <si>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</si>
  <si>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</si>
  <si>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</si>
  <si>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</si>
  <si>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</si>
  <si>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</si>
  <si>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</si>
  <si>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</si>
  <si>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</si>
  <si>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</si>
  <si>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</si>
  <si>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</si>
  <si>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</si>
  <si>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</si>
  <si>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</si>
  <si>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</si>
  <si>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</si>
  <si>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</si>
  <si>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</si>
  <si>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</si>
  <si>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</si>
  <si>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</si>
  <si>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</si>
  <si>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</si>
  <si>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</si>
  <si>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</si>
  <si>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</si>
  <si>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</si>
  <si>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</si>
  <si>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</si>
  <si>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</si>
  <si>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</si>
  <si>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</si>
  <si>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</si>
  <si>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</si>
  <si>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</si>
  <si>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</si>
  <si>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</si>
  <si>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</si>
  <si>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</si>
  <si>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</si>
  <si>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</si>
  <si>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</si>
  <si>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</si>
  <si>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</si>
  <si>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</si>
  <si>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</si>
  <si>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</si>
  <si>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</si>
  <si>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</si>
  <si>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</si>
  <si>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</si>
  <si>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</si>
  <si>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</si>
  <si>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</si>
  <si>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</si>
  <si>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</si>
  <si>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</si>
  <si>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</si>
  <si>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</si>
  <si>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</si>
  <si>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</si>
  <si>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</si>
  <si>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</si>
  <si>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</si>
  <si>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</si>
  <si>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</si>
  <si>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</si>
  <si>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</si>
  <si>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</si>
  <si>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</si>
  <si>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</si>
  <si>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</si>
  <si>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</si>
  <si>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</si>
  <si>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</si>
  <si>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</si>
  <si>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</si>
  <si>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</si>
  <si>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</si>
  <si>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</si>
  <si>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</si>
  <si>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</si>
  <si>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</si>
  <si>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</si>
  <si>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</si>
  <si>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</si>
  <si>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</si>
  <si>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</si>
  <si>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</si>
  <si>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</si>
  <si>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</si>
  <si>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</si>
  <si>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</si>
  <si>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</si>
  <si>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</si>
  <si>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</si>
  <si>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</si>
  <si>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</si>
  <si>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</si>
  <si>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</si>
  <si>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</si>
  <si>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</si>
  <si>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</si>
  <si>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</si>
  <si>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</si>
  <si>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</si>
  <si>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</si>
  <si>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</si>
  <si>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</si>
  <si>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</si>
  <si>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</si>
  <si>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</si>
  <si>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</si>
  <si>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</si>
  <si>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</si>
  <si>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</si>
  <si>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</si>
  <si>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</si>
  <si>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</si>
  <si>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</si>
  <si>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</si>
  <si>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</si>
  <si>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</si>
  <si>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</si>
  <si>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</si>
  <si>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</si>
  <si>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</si>
  <si>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</si>
  <si>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</si>
  <si>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</si>
  <si>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</si>
  <si>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</si>
  <si>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</si>
  <si>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</si>
  <si>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</si>
  <si>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</si>
  <si>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</si>
  <si>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</si>
  <si>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</si>
  <si>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</si>
  <si>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</si>
  <si>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</si>
  <si>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</si>
  <si>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</si>
  <si>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</si>
  <si>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</si>
  <si>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</si>
  <si>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</si>
  <si>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</si>
  <si>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</si>
  <si>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</si>
  <si>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</si>
  <si>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</si>
  <si>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</si>
  <si>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</si>
  <si>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</si>
  <si>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</si>
  <si>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</si>
  <si>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</si>
  <si>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</si>
  <si>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</si>
  <si>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</si>
  <si>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</si>
  <si>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</si>
  <si>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</si>
  <si>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</si>
  <si>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</si>
  <si>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</si>
  <si>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</si>
  <si>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</si>
  <si>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</si>
  <si>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</si>
  <si>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</si>
  <si>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</si>
  <si>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</si>
  <si>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</si>
  <si>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</si>
  <si>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</si>
  <si>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</si>
  <si>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</si>
  <si>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</si>
  <si>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</si>
  <si>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</si>
  <si>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</si>
  <si>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</si>
  <si>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</si>
  <si>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</si>
  <si>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</si>
  <si>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</si>
  <si>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</si>
  <si>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</si>
  <si>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</si>
  <si>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</si>
  <si>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</si>
  <si>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</si>
  <si>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</si>
  <si>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</si>
  <si>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</si>
  <si>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</si>
  <si>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</si>
  <si>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</si>
  <si>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</si>
  <si>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</si>
  <si>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</si>
  <si>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</si>
  <si>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</si>
  <si>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</si>
  <si>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</si>
  <si>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</si>
  <si>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</si>
  <si>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</si>
  <si>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</si>
  <si>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</si>
  <si>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</si>
  <si>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</si>
  <si>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</si>
  <si>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</si>
  <si>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</si>
  <si>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</si>
  <si>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</si>
  <si>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</si>
  <si>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</si>
  <si>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</si>
  <si>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</si>
  <si>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</si>
  <si>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</si>
  <si>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</si>
  <si>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</si>
  <si>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</si>
  <si>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</si>
  <si>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</si>
  <si>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</si>
  <si>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</si>
  <si>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</si>
  <si>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</si>
  <si>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</si>
  <si>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</si>
  <si>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</si>
  <si>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</si>
  <si>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</si>
  <si>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</si>
  <si>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</si>
  <si>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</si>
  <si>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</si>
  <si>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</si>
  <si>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</si>
  <si>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</si>
  <si>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</si>
  <si>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</si>
  <si>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</si>
  <si>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</si>
  <si>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</si>
  <si>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</si>
  <si>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</si>
  <si>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</si>
  <si>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</si>
  <si>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</si>
  <si>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</si>
  <si>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</si>
  <si>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</si>
  <si>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</si>
  <si>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</si>
  <si>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</si>
  <si>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</si>
  <si>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</si>
  <si>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</si>
  <si>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</si>
  <si>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</si>
  <si>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</si>
  <si>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</si>
  <si>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</si>
  <si>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</si>
  <si>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</si>
  <si>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</si>
  <si>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</si>
  <si>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</si>
  <si>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</si>
  <si>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</si>
  <si>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</si>
  <si>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</si>
  <si>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</si>
  <si>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</si>
  <si>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</si>
  <si>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</si>
  <si>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</si>
  <si>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</si>
  <si>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</si>
  <si>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</si>
  <si>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</si>
  <si>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</si>
  <si>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</si>
  <si>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</si>
  <si>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</si>
  <si>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</si>
  <si>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</si>
  <si>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</si>
  <si>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</si>
  <si>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</si>
  <si>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</si>
  <si>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</si>
  <si>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</si>
  <si>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</si>
  <si>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</si>
  <si>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</si>
  <si>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</si>
  <si>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</si>
  <si>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</si>
  <si>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</si>
  <si>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</si>
  <si>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</si>
  <si>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</si>
  <si>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</si>
  <si>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</si>
  <si>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</si>
  <si>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</si>
  <si>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</si>
  <si>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</si>
  <si>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</si>
  <si>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</si>
  <si>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</si>
  <si>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</si>
  <si>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</si>
  <si>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</si>
  <si>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</si>
  <si>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</si>
  <si>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</si>
  <si>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</si>
  <si>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</si>
  <si>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</si>
  <si>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</si>
  <si>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</si>
  <si>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</si>
  <si>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</si>
  <si>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</si>
  <si>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</si>
  <si>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</si>
  <si>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</si>
  <si>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</si>
  <si>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</si>
  <si>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</si>
  <si>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</si>
  <si>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</si>
  <si>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</si>
  <si>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</si>
  <si>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</si>
  <si>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</si>
  <si>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</si>
  <si>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</si>
  <si>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</si>
  <si>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</si>
  <si>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</si>
  <si>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</si>
  <si>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</si>
  <si>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</si>
  <si>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</si>
  <si>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</si>
  <si>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</si>
  <si>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</si>
  <si>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</si>
  <si>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</si>
  <si>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</si>
  <si>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</si>
  <si>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</si>
  <si>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</si>
  <si>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</si>
  <si>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</si>
  <si>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</si>
  <si>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</si>
  <si>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</si>
  <si>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</si>
  <si>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</si>
  <si>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</si>
  <si>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</si>
  <si>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</si>
  <si>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</si>
  <si>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</si>
  <si>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</si>
  <si>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</si>
  <si>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</si>
  <si>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</si>
  <si>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</si>
  <si>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</si>
  <si>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</si>
  <si>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</si>
  <si>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</si>
  <si>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</si>
  <si>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</si>
  <si>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</si>
  <si>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</si>
  <si>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</si>
  <si>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</si>
  <si>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</si>
  <si>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</si>
  <si>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</si>
  <si>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</si>
  <si>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</si>
  <si>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</si>
  <si>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</si>
  <si>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</si>
  <si>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</si>
  <si>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</si>
  <si>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</si>
  <si>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</si>
  <si>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</si>
  <si>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</si>
  <si>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</si>
  <si>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</si>
  <si>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</si>
  <si>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</si>
  <si>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</si>
  <si>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</si>
  <si>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</si>
  <si>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</si>
  <si>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</si>
  <si>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</si>
  <si>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</si>
  <si>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</si>
  <si>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</si>
  <si>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</si>
  <si>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</si>
  <si>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</si>
  <si>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</si>
  <si>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</si>
  <si>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</si>
  <si>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</si>
  <si>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</si>
  <si>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</si>
  <si>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</si>
  <si>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</si>
  <si>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</si>
  <si>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</si>
  <si>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</si>
  <si>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</si>
  <si>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</si>
  <si>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</si>
  <si>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</si>
  <si>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</si>
  <si>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</si>
  <si>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</si>
  <si>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</si>
  <si>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</si>
  <si>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</si>
  <si>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</si>
  <si>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</si>
  <si>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</si>
  <si>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</si>
  <si>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</si>
  <si>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</si>
  <si>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</si>
  <si>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</si>
  <si>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</si>
  <si>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</si>
  <si>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</si>
  <si>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</si>
  <si>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</si>
  <si>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</si>
  <si>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</si>
  <si>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</si>
  <si>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</si>
  <si>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</si>
  <si>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</si>
  <si>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</si>
  <si>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</si>
  <si>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</si>
  <si>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</si>
  <si>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</si>
  <si>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</si>
  <si>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</si>
  <si>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</si>
  <si>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</si>
  <si>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</si>
  <si>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</si>
  <si>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</si>
  <si>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</si>
  <si>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</si>
  <si>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</si>
  <si>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</si>
  <si>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</si>
  <si>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</si>
  <si>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</si>
  <si>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</si>
  <si>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</si>
  <si>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</si>
  <si>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</si>
  <si>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</si>
  <si>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</si>
  <si>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</si>
  <si>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</si>
  <si>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</si>
  <si>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</si>
  <si>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</si>
  <si>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</si>
  <si>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</si>
  <si>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</si>
  <si>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</si>
  <si>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</si>
  <si>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</si>
  <si>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</si>
  <si>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</si>
  <si>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</si>
  <si>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</si>
  <si>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</si>
  <si>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</si>
  <si>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</si>
  <si>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</si>
  <si>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</si>
  <si>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</si>
  <si>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</si>
  <si>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</si>
  <si>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</si>
  <si>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</si>
  <si>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</si>
  <si>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</si>
  <si>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</si>
  <si>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</si>
  <si>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</si>
  <si>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</si>
  <si>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</si>
  <si>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</si>
  <si>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</si>
  <si>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</si>
  <si>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</si>
  <si>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</si>
  <si>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</si>
  <si>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</si>
  <si>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</si>
  <si>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</si>
  <si>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</si>
  <si>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</si>
  <si>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</si>
  <si>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</si>
  <si>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</si>
  <si>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</si>
  <si>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</si>
  <si>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</si>
  <si>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</si>
  <si>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</si>
  <si>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</si>
  <si>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</si>
  <si>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</si>
  <si>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</si>
  <si>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</si>
  <si>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</si>
  <si>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</si>
  <si>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</si>
  <si>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</si>
  <si>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</si>
  <si>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</si>
  <si>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</si>
  <si>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</si>
  <si>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</si>
  <si>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</si>
  <si>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</si>
  <si>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</si>
  <si>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</si>
  <si>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</si>
  <si>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</si>
  <si>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</si>
  <si>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</si>
  <si>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</si>
  <si>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</si>
  <si>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</si>
  <si>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</si>
  <si>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</si>
  <si>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</si>
  <si>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</si>
  <si>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</si>
  <si>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</si>
  <si>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</si>
  <si>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</si>
  <si>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</si>
  <si>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</si>
  <si>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</si>
  <si>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</si>
  <si>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</si>
  <si>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</si>
  <si>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</si>
  <si>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</si>
  <si>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</si>
  <si>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</si>
  <si>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</si>
  <si>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</si>
  <si>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</si>
  <si>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</si>
  <si>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</si>
  <si>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</si>
  <si>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</si>
  <si>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</si>
  <si>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</si>
  <si>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</si>
  <si>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</si>
  <si>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</si>
  <si>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</si>
  <si>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</si>
  <si>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</si>
  <si>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</si>
  <si>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</si>
  <si>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</si>
  <si>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</si>
  <si>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</si>
  <si>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</si>
  <si>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</si>
  <si>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</si>
  <si>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</si>
  <si>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</si>
  <si>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</si>
  <si>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</si>
  <si>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</si>
  <si>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</si>
  <si>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</si>
  <si>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</si>
  <si>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</si>
  <si>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</si>
  <si>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</si>
  <si>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</si>
  <si>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</si>
  <si>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</si>
  <si>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</si>
  <si>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</si>
  <si>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</si>
  <si>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</si>
  <si>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</si>
  <si>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</si>
  <si>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</si>
  <si>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</si>
  <si>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</si>
  <si>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</si>
  <si>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</si>
  <si>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</si>
  <si>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</si>
  <si>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</si>
  <si>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</si>
  <si>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</si>
  <si>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</si>
  <si>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</si>
  <si>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</si>
  <si>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</si>
  <si>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</si>
  <si>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</si>
  <si>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</si>
  <si>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</si>
  <si>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</si>
  <si>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</si>
  <si>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</si>
  <si>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</si>
  <si>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</si>
  <si>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</si>
  <si>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</si>
  <si>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</si>
  <si>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</si>
  <si>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</si>
  <si>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</si>
  <si>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</si>
  <si>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</si>
  <si>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</si>
  <si>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</si>
  <si>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</si>
  <si>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</si>
  <si>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</si>
  <si>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</si>
  <si>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</si>
  <si>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</si>
  <si>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</si>
  <si>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</si>
  <si>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</si>
  <si>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</si>
  <si>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</si>
  <si>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</si>
  <si>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</si>
  <si>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</si>
  <si>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</si>
  <si>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</si>
  <si>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</si>
  <si>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</si>
  <si>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</si>
  <si>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</si>
  <si>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</si>
  <si>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</si>
  <si>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</si>
  <si>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</si>
  <si>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</si>
  <si>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</si>
  <si>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</si>
  <si>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</si>
  <si>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</si>
  <si>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</si>
  <si>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</si>
  <si>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</si>
  <si>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</si>
  <si>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</si>
  <si>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</si>
  <si>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</si>
  <si>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</si>
  <si>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</si>
  <si>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</si>
  <si>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</si>
  <si>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</si>
  <si>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</si>
  <si>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</si>
  <si>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</si>
  <si>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</si>
  <si>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</si>
  <si>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</si>
  <si>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</si>
  <si>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</si>
  <si>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</si>
  <si>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</si>
  <si>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</si>
  <si>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</si>
  <si>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</si>
  <si>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</si>
  <si>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</si>
  <si>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</si>
  <si>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</si>
  <si>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</si>
  <si>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</si>
  <si>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</si>
  <si>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</si>
  <si>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</si>
  <si>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</si>
  <si>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</si>
  <si>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</si>
  <si>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</si>
  <si>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</si>
  <si>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</si>
  <si>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</si>
  <si>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</si>
  <si>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</si>
  <si>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</si>
  <si>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</si>
  <si>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</si>
  <si>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</si>
  <si>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</si>
  <si>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</si>
  <si>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</si>
  <si>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</si>
  <si>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</si>
  <si>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</si>
  <si>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</si>
  <si>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</si>
  <si>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</si>
  <si>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</si>
  <si>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</si>
  <si>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</si>
  <si>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</si>
  <si>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</si>
  <si>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</si>
  <si>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</si>
  <si>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</si>
  <si>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</si>
  <si>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</si>
  <si>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</si>
  <si>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</si>
  <si>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</si>
  <si>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</si>
  <si>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</si>
  <si>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</si>
  <si>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</si>
  <si>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</si>
  <si>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</si>
  <si>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</si>
  <si>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</si>
  <si>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</si>
  <si>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</si>
  <si>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</si>
  <si>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</si>
  <si>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</si>
  <si>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</si>
  <si>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</si>
  <si>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</si>
  <si>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</si>
  <si>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</si>
  <si>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</si>
  <si>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</si>
  <si>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</si>
  <si>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</si>
  <si>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</si>
  <si>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</si>
  <si>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</si>
  <si>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</si>
  <si>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</si>
  <si>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</si>
  <si>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</si>
  <si>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</si>
  <si>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</si>
  <si>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</si>
  <si>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</si>
  <si>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</si>
  <si>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</si>
  <si>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</si>
  <si>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</si>
  <si>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</si>
  <si>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</si>
  <si>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</si>
  <si>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</si>
  <si>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</si>
  <si>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</si>
  <si>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</si>
  <si>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</si>
  <si>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</si>
  <si>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</si>
  <si>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</si>
  <si>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</si>
  <si>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</si>
  <si>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</si>
  <si>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</si>
  <si>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</si>
  <si>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</si>
  <si>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</si>
  <si>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</si>
  <si>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</si>
  <si>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</si>
  <si>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</si>
  <si>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</si>
  <si>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</si>
  <si>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</si>
  <si>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</si>
  <si>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</si>
  <si>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</si>
  <si>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</si>
  <si>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</si>
  <si>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</si>
  <si>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</si>
  <si>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</si>
  <si>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</si>
  <si>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</si>
  <si>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</si>
  <si>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</si>
  <si>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</si>
  <si>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</si>
  <si>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</si>
  <si>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</si>
  <si>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</si>
  <si>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</si>
  <si>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</si>
  <si>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</si>
  <si>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</si>
  <si>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</si>
  <si>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</si>
  <si>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</si>
  <si>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</si>
  <si>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</si>
  <si>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</si>
  <si>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</si>
  <si>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</si>
  <si>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</si>
  <si>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</si>
  <si>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</si>
  <si>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</si>
  <si>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</si>
  <si>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</si>
  <si>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</si>
  <si>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</si>
  <si>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</si>
  <si>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</si>
  <si>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</si>
  <si>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</si>
  <si>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</si>
  <si>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</si>
  <si>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</si>
  <si>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</si>
  <si>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</si>
  <si>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</si>
  <si>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</si>
  <si>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</si>
  <si>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</si>
  <si>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</si>
  <si>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</si>
  <si>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</si>
  <si>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</si>
  <si>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</si>
  <si>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</si>
  <si>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</si>
  <si>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</si>
  <si>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</si>
  <si>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</si>
  <si>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</si>
  <si>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</si>
  <si>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</si>
  <si>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</si>
  <si>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</si>
  <si>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</si>
  <si>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</si>
  <si>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</si>
  <si>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</si>
  <si>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</si>
  <si>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</si>
  <si>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</si>
  <si>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</si>
  <si>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</si>
  <si>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</si>
  <si>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</si>
  <si>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</si>
  <si>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</si>
  <si>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</si>
  <si>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</si>
  <si>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</si>
  <si>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</si>
  <si>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</si>
  <si>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</si>
  <si>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</si>
  <si>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</si>
  <si>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</si>
  <si>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</si>
  <si>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</si>
  <si>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</si>
  <si>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</si>
  <si>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</si>
  <si>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</si>
  <si>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</si>
  <si>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</si>
  <si>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</si>
  <si>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</si>
  <si>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</si>
  <si>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</si>
  <si>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</si>
  <si>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</si>
  <si>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</si>
  <si>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</si>
  <si>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</si>
  <si>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</si>
  <si>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</si>
  <si>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</si>
  <si>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</si>
  <si>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</si>
  <si>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</si>
  <si>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</si>
  <si>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</si>
  <si>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</si>
  <si>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</si>
  <si>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</si>
  <si>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</si>
  <si>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</si>
  <si>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</si>
  <si>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</si>
  <si>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</si>
  <si>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</si>
  <si>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</si>
  <si>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</si>
  <si>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</si>
  <si>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</si>
  <si>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</si>
  <si>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</si>
  <si>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</si>
  <si>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</si>
  <si>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</si>
  <si>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</si>
  <si>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</si>
  <si>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</si>
  <si>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</si>
  <si>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</si>
  <si>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</si>
  <si>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</si>
  <si>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</si>
  <si>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</si>
  <si>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</si>
  <si>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</si>
  <si>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</si>
  <si>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</si>
  <si>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</si>
  <si>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</si>
  <si>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</si>
  <si>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</si>
  <si>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</si>
  <si>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</si>
  <si>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</si>
  <si>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</si>
  <si>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</si>
  <si>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</si>
  <si>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</si>
  <si>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</si>
  <si>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</si>
  <si>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</si>
  <si>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</si>
  <si>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</si>
  <si>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</si>
  <si>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</si>
  <si>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</si>
  <si>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</si>
  <si>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</si>
  <si>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</si>
  <si>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</si>
  <si>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</si>
  <si>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</si>
  <si>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</si>
  <si>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</si>
  <si>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</si>
  <si>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</si>
  <si>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</si>
  <si>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</si>
  <si>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</si>
  <si>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</si>
  <si>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</si>
  <si>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</si>
  <si>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</si>
  <si>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</si>
  <si>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</si>
  <si>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</si>
  <si>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</si>
  <si>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</si>
  <si>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</si>
  <si>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</si>
  <si>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</si>
  <si>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</si>
  <si>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</si>
  <si>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</si>
  <si>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</si>
  <si>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</si>
  <si>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</si>
  <si>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</si>
  <si>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</si>
  <si>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</si>
  <si>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</si>
  <si>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</si>
  <si>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</si>
  <si>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</si>
  <si>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</si>
  <si>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</si>
  <si>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</si>
  <si>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</si>
  <si>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</si>
  <si>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</si>
  <si>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</si>
  <si>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</si>
  <si>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</si>
  <si>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</si>
  <si>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</si>
  <si>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</si>
  <si>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</si>
  <si>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</si>
  <si>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</si>
  <si>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</si>
  <si>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</si>
  <si>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</si>
  <si>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</si>
  <si>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</si>
  <si>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</si>
  <si>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</si>
  <si>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</si>
  <si>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</si>
  <si>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</si>
  <si>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</si>
  <si>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</si>
  <si>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</si>
  <si>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</si>
  <si>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</si>
  <si>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</si>
  <si>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</si>
  <si>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</si>
  <si>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</si>
  <si>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</si>
  <si>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</si>
  <si>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</si>
  <si>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</si>
  <si>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</si>
  <si>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</si>
  <si>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</si>
  <si>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</si>
  <si>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</si>
  <si>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</si>
  <si>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</si>
  <si>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</si>
  <si>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</si>
  <si>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</si>
  <si>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</si>
  <si>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</si>
  <si>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</si>
  <si>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</si>
  <si>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</si>
  <si>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</si>
  <si>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</si>
  <si>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</si>
  <si>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</si>
  <si>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</si>
  <si>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</si>
  <si>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</si>
  <si>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</si>
  <si>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</si>
  <si>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</si>
  <si>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</si>
  <si>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</si>
  <si>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</si>
  <si>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</si>
  <si>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</si>
  <si>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</si>
  <si>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</si>
  <si>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</si>
  <si>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</si>
  <si>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</si>
  <si>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</si>
  <si>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</si>
  <si>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</si>
  <si>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</si>
  <si>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</si>
  <si>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</si>
  <si>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</si>
  <si>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</si>
  <si>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</si>
  <si>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</si>
  <si>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</si>
  <si>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</si>
  <si>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</si>
  <si>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</si>
  <si>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</si>
  <si>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</si>
  <si>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</si>
  <si>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</si>
  <si>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</si>
  <si>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</si>
  <si>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</si>
  <si>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</si>
  <si>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</si>
  <si>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</si>
  <si>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</si>
  <si>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</si>
  <si>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</si>
  <si>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</si>
  <si>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</si>
  <si>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</si>
  <si>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</si>
  <si>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</si>
  <si>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</si>
  <si>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</si>
  <si>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</si>
  <si>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</si>
  <si>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</si>
  <si>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</si>
  <si>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</si>
  <si>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</si>
  <si>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</si>
  <si>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</si>
  <si>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</si>
  <si>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</si>
  <si>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</si>
  <si>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</si>
  <si>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</si>
  <si>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</si>
  <si>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</si>
  <si>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</si>
  <si>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</si>
  <si>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</si>
  <si>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</si>
  <si>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</si>
  <si>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</si>
  <si>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</si>
  <si>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</si>
  <si>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</si>
  <si>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</si>
  <si>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</si>
  <si>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</si>
  <si>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</si>
  <si>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</si>
  <si>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</si>
  <si>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</si>
  <si>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</si>
  <si>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</si>
  <si>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</si>
  <si>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</si>
  <si>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</si>
  <si>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</si>
  <si>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</si>
  <si>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</si>
  <si>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</si>
  <si>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</si>
  <si>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</si>
  <si>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</si>
  <si>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</si>
  <si>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</si>
  <si>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</si>
  <si>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</si>
  <si>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</si>
  <si>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</si>
  <si>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</si>
  <si>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</si>
  <si>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</si>
  <si>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</si>
  <si>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</si>
  <si>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</si>
  <si>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</si>
  <si>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</si>
  <si>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</si>
  <si>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</si>
  <si>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</si>
  <si>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</si>
  <si>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</si>
  <si>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</si>
  <si>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</si>
  <si>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</si>
  <si>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</si>
  <si>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</si>
  <si>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</si>
  <si>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</si>
  <si>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</si>
  <si>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</si>
  <si>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</si>
  <si>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</si>
  <si>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</si>
  <si>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</si>
  <si>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</si>
  <si>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</si>
  <si>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</si>
  <si>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</si>
  <si>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</si>
  <si>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</si>
  <si>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</si>
  <si>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</si>
  <si>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</si>
  <si>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</si>
  <si>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</si>
  <si>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</si>
  <si>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</si>
  <si>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</si>
  <si>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</si>
  <si>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</si>
  <si>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</si>
  <si>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</si>
  <si>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</si>
  <si>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</si>
  <si>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</si>
  <si>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</si>
  <si>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</si>
  <si>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</si>
  <si>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</si>
  <si>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</si>
  <si>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</si>
  <si>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</si>
  <si>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</si>
  <si>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</si>
  <si>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</si>
  <si>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</si>
  <si>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</si>
  <si>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</si>
  <si>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</si>
  <si>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</si>
  <si>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</si>
  <si>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</si>
  <si>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</si>
  <si>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</si>
  <si>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</si>
  <si>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</si>
  <si>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</si>
  <si>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</si>
  <si>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</si>
  <si>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</si>
  <si>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</si>
  <si>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</si>
  <si>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</si>
  <si>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</si>
  <si>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</si>
  <si>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</si>
  <si>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</si>
  <si>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</si>
  <si>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</si>
  <si>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</si>
  <si>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</si>
  <si>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</si>
  <si>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</si>
  <si>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</si>
  <si>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</si>
  <si>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</si>
  <si>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</si>
  <si>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</si>
  <si>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</si>
  <si>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</si>
  <si>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</si>
  <si>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</si>
  <si>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</si>
  <si>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</si>
  <si>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</si>
  <si>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</si>
  <si>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</si>
  <si>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</si>
  <si>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</si>
  <si>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</si>
  <si>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</si>
  <si>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</si>
  <si>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</si>
  <si>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</si>
  <si>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</si>
  <si>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</si>
  <si>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</si>
  <si>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</si>
  <si>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</si>
  <si>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</si>
  <si>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</si>
  <si>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</si>
  <si>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</si>
  <si>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</si>
  <si>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</si>
  <si>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</si>
  <si>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</si>
  <si>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</si>
  <si>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</si>
  <si>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</si>
  <si>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</si>
  <si>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</si>
  <si>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</si>
  <si>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</si>
  <si>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</si>
  <si>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</si>
  <si>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</si>
  <si>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</si>
  <si>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</si>
  <si>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</si>
  <si>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</si>
  <si>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</si>
  <si>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</si>
  <si>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</si>
  <si>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</si>
  <si>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</si>
  <si>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</si>
  <si>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</si>
  <si>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</si>
  <si>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</si>
  <si>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</si>
  <si>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</si>
  <si>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</si>
  <si>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</si>
  <si>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</si>
  <si>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</si>
  <si>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</si>
  <si>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</si>
  <si>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</si>
  <si>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</si>
  <si>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</si>
  <si>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</si>
  <si>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</si>
  <si>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</si>
  <si>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</si>
  <si>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</si>
  <si>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</si>
  <si>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</si>
  <si>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</si>
  <si>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</si>
  <si>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</si>
  <si>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</si>
  <si>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</si>
  <si>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</si>
  <si>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</si>
  <si>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</si>
  <si>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</si>
  <si>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</si>
  <si>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</si>
  <si>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</si>
  <si>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</si>
  <si>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</si>
  <si>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</si>
  <si>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</si>
  <si>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</si>
  <si>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</si>
  <si>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</si>
  <si>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</si>
  <si>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</si>
  <si>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</si>
  <si>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</si>
  <si>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</si>
  <si>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</si>
  <si>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</si>
  <si>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</si>
  <si>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</si>
  <si>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</si>
  <si>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</si>
  <si>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</si>
  <si>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</si>
  <si>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</si>
  <si>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</si>
  <si>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</si>
  <si>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</si>
  <si>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</si>
  <si>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</si>
  <si>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</si>
  <si>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</si>
  <si>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</si>
  <si>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</si>
  <si>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</si>
  <si>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</si>
  <si>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</si>
  <si>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</si>
  <si>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</si>
  <si>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</si>
  <si>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</si>
  <si>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</si>
  <si>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</si>
  <si>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</si>
  <si>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</si>
  <si>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</si>
  <si>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</si>
  <si>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</si>
  <si>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</si>
  <si>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</si>
  <si>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</si>
  <si>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</si>
  <si>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</si>
  <si>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</si>
  <si>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</si>
  <si>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</si>
  <si>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</si>
  <si>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</si>
  <si>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</si>
  <si>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</si>
  <si>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</si>
  <si>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</si>
  <si>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</si>
  <si>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</si>
  <si>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</si>
  <si>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</si>
  <si>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</si>
  <si>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</si>
  <si>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</si>
  <si>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</si>
  <si>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</si>
  <si>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</si>
  <si>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</si>
  <si>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</si>
  <si>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</si>
  <si>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</si>
  <si>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</si>
  <si>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</si>
  <si>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</si>
  <si>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</si>
  <si>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</si>
  <si>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</si>
  <si>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</si>
  <si>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</si>
  <si>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</si>
  <si>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</si>
  <si>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</si>
  <si>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</si>
  <si>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</si>
  <si>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</si>
  <si>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</si>
  <si>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</si>
  <si>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</si>
  <si>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</si>
  <si>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</si>
  <si>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</si>
  <si>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</si>
  <si>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</si>
  <si>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</si>
  <si>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</si>
  <si>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</si>
  <si>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</si>
  <si>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</si>
  <si>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</si>
  <si>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</si>
  <si>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</si>
  <si>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</si>
  <si>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</si>
  <si>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</si>
  <si>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</si>
  <si>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</si>
  <si>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</si>
  <si>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</si>
  <si>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</si>
  <si>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</si>
  <si>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</si>
  <si>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</si>
  <si>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</si>
  <si>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</si>
  <si>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</si>
  <si>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</si>
  <si>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</si>
  <si>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</si>
  <si>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</si>
  <si>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</si>
  <si>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</si>
  <si>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</si>
  <si>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</si>
  <si>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</si>
  <si>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</si>
  <si>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</si>
  <si>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</si>
  <si>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</si>
  <si>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</si>
  <si>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</si>
  <si>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</si>
  <si>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</si>
  <si>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</si>
  <si>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</si>
  <si>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</si>
  <si>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</si>
  <si>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</si>
  <si>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</si>
  <si>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</si>
  <si>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</si>
  <si>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</si>
  <si>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</si>
  <si>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</si>
  <si>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</si>
  <si>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</si>
  <si>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</si>
  <si>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</si>
  <si>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</si>
  <si>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</si>
  <si>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</si>
  <si>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</si>
  <si>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</si>
  <si>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</si>
  <si>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</si>
  <si>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</si>
  <si>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</si>
  <si>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</si>
  <si>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</si>
  <si>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</si>
  <si>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</si>
  <si>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</si>
  <si>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</si>
  <si>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</si>
  <si>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</si>
  <si>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</si>
  <si>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</si>
  <si>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</si>
  <si>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</si>
  <si>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</si>
  <si>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</si>
  <si>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</si>
  <si>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</si>
  <si>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</si>
  <si>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</si>
  <si>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</si>
  <si>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</si>
  <si>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</si>
  <si>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</si>
  <si>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</si>
  <si>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</si>
  <si>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</si>
  <si>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</si>
  <si>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</si>
  <si>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</si>
  <si>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</si>
  <si>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</si>
  <si>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</si>
  <si>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</si>
  <si>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</si>
  <si>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</si>
  <si>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</si>
  <si>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</si>
  <si>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</si>
  <si>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</si>
  <si>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</si>
  <si>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</si>
  <si>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</si>
  <si>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</si>
  <si>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</si>
  <si>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</si>
  <si>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</si>
  <si>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</si>
  <si>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</si>
  <si>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</si>
  <si>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</si>
  <si>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</si>
  <si>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</si>
  <si>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</si>
  <si>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</si>
  <si>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</si>
  <si>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</si>
  <si>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</si>
  <si>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</si>
  <si>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</si>
  <si>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</si>
  <si>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</si>
  <si>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</si>
  <si>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</si>
  <si>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</si>
  <si>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</si>
  <si>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</si>
  <si>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</si>
  <si>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</si>
  <si>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</si>
  <si>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</si>
  <si>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</si>
  <si>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</si>
  <si>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</si>
  <si>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</si>
  <si>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</si>
  <si>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</si>
  <si>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</si>
  <si>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</si>
  <si>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</si>
  <si>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</si>
  <si>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</si>
  <si>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</si>
  <si>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</si>
  <si>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</si>
  <si>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</si>
  <si>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</si>
  <si>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</si>
  <si>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</si>
  <si>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</si>
  <si>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</si>
  <si>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</si>
  <si>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</si>
  <si>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</si>
  <si>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</si>
  <si>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</si>
  <si>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</si>
  <si>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</si>
  <si>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</si>
  <si>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</si>
  <si>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</si>
  <si>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</si>
  <si>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</si>
  <si>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</si>
  <si>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</si>
  <si>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</si>
  <si>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</si>
  <si>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</si>
  <si>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</si>
  <si>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</si>
  <si>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</si>
  <si>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</si>
  <si>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</si>
  <si>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</si>
  <si>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</si>
  <si>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</si>
  <si>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</si>
  <si>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</si>
  <si>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</si>
  <si>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</si>
  <si>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</si>
  <si>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</si>
  <si>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</si>
  <si>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</si>
  <si>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</si>
  <si>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</si>
  <si>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</si>
  <si>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</si>
  <si>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</si>
  <si>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</si>
  <si>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</si>
  <si>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</si>
  <si>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</si>
  <si>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</si>
  <si>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</si>
  <si>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</si>
  <si>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</si>
  <si>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</si>
  <si>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</si>
  <si>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</si>
  <si>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</si>
  <si>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</si>
  <si>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</si>
  <si>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</si>
  <si>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</si>
  <si>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</si>
  <si>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</si>
  <si>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</si>
  <si>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</si>
  <si>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</si>
  <si>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</si>
  <si>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</si>
  <si>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</si>
  <si>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</si>
  <si>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</si>
  <si>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</si>
  <si>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</si>
  <si>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</si>
  <si>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</si>
  <si>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</si>
  <si>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</si>
  <si>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</si>
  <si>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</si>
  <si>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</si>
  <si>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</si>
  <si>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</si>
  <si>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</si>
  <si>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</si>
  <si>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</si>
  <si>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</si>
  <si>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</si>
  <si>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</si>
  <si>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</si>
  <si>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</si>
  <si>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</si>
  <si>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</si>
  <si>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</si>
  <si>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</si>
  <si>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</si>
  <si>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</si>
  <si>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</si>
  <si>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</si>
  <si>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</si>
  <si>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</si>
  <si>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</si>
  <si>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</si>
  <si>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</si>
  <si>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</si>
  <si>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</si>
  <si>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</si>
  <si>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</si>
  <si>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</si>
  <si>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</si>
  <si>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</si>
  <si>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</si>
  <si>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</si>
  <si>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</si>
  <si>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</si>
  <si>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</si>
  <si>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</si>
  <si>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</si>
  <si>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</si>
  <si>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</si>
  <si>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</si>
  <si>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</si>
  <si>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</si>
  <si>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</si>
  <si>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</si>
  <si>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</si>
  <si>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</si>
  <si>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</si>
  <si>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</si>
  <si>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</si>
  <si>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</si>
  <si>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</si>
  <si>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</si>
  <si>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</si>
  <si>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</si>
  <si>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</si>
  <si>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</si>
  <si>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</si>
  <si>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</si>
  <si>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</si>
  <si>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</si>
  <si>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</si>
  <si>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</si>
  <si>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</si>
  <si>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</si>
  <si>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</si>
  <si>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</si>
  <si>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</si>
  <si>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</si>
  <si>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</si>
  <si>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</si>
  <si>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</si>
  <si>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</si>
  <si>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</si>
  <si>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</si>
  <si>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</si>
  <si>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</si>
  <si>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</si>
  <si>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</si>
  <si>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</si>
  <si>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</si>
  <si>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</si>
  <si>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</si>
  <si>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</si>
  <si>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</si>
  <si>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</si>
  <si>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</si>
  <si>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</si>
  <si>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</si>
  <si>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</si>
  <si>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</si>
  <si>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</si>
  <si>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</si>
  <si>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</si>
  <si>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</si>
  <si>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</si>
  <si>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</si>
  <si>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</si>
  <si>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</si>
  <si>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</si>
  <si>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</si>
  <si>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</si>
  <si>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</si>
  <si>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</si>
  <si>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</si>
  <si>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</si>
  <si>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</si>
  <si>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</si>
  <si>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</si>
  <si>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</si>
  <si>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</si>
  <si>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</si>
  <si>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</si>
  <si>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</si>
  <si>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</si>
  <si>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</si>
  <si>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</si>
  <si>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</si>
  <si>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</si>
  <si>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</si>
  <si>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</si>
  <si>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</si>
  <si>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</si>
  <si>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</si>
  <si>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</si>
  <si>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</si>
  <si>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</si>
  <si>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</si>
  <si>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</si>
  <si>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</si>
  <si>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</si>
  <si>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</si>
  <si>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</si>
  <si>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</si>
  <si>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</si>
  <si>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</si>
  <si>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</si>
  <si>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</si>
  <si>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</si>
  <si>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</si>
  <si>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</si>
  <si>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</si>
  <si>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</si>
  <si>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</si>
  <si>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</si>
  <si>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</si>
  <si>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</si>
  <si>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</si>
  <si>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</si>
  <si>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</si>
  <si>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</si>
  <si>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</si>
  <si>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</si>
  <si>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</si>
  <si>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</si>
  <si>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</si>
  <si>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</si>
  <si>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</si>
  <si>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</si>
  <si>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</si>
  <si>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</si>
  <si>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</si>
  <si>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</si>
  <si>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</si>
  <si>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</si>
  <si>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</si>
  <si>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</si>
  <si>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</si>
  <si>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</si>
  <si>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</si>
  <si>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</si>
  <si>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</si>
  <si>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</si>
  <si>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</si>
  <si>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</si>
  <si>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</si>
  <si>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</si>
  <si>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</si>
  <si>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</si>
  <si>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</si>
  <si>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</si>
  <si>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</si>
  <si>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</si>
  <si>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</si>
  <si>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</si>
  <si>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</si>
  <si>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</si>
  <si>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</si>
  <si>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</si>
  <si>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</si>
  <si>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</si>
  <si>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</si>
  <si>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</si>
  <si>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</si>
  <si>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</si>
  <si>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</si>
  <si>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</si>
  <si>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</si>
  <si>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</si>
  <si>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</si>
  <si>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</si>
  <si>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</si>
  <si>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</si>
  <si>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</si>
  <si>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</si>
  <si>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</si>
  <si>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</si>
  <si>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</si>
  <si>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</si>
  <si>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</si>
  <si>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</si>
  <si>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</si>
  <si>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</si>
  <si>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</si>
  <si>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</si>
  <si>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</si>
  <si>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</si>
  <si>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</si>
  <si>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</si>
  <si>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</si>
  <si>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</si>
  <si>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</si>
  <si>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</si>
  <si>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</si>
  <si>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</si>
  <si>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</si>
  <si>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</si>
  <si>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</si>
  <si>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</si>
  <si>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</si>
  <si>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</si>
  <si>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</si>
  <si>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</si>
  <si>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</si>
  <si>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</si>
  <si>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</si>
  <si>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</si>
  <si>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</si>
  <si>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</si>
  <si>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</si>
  <si>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</si>
  <si>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</si>
  <si>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</si>
  <si>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</si>
  <si>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</si>
  <si>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</si>
  <si>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</si>
  <si>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</si>
  <si>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</si>
  <si>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</si>
  <si>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</si>
  <si>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</si>
  <si>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</si>
  <si>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</si>
  <si>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</si>
  <si>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</si>
  <si>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</si>
  <si>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</si>
  <si>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</si>
  <si>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</si>
  <si>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</si>
  <si>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</si>
  <si>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</si>
  <si>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</si>
  <si>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</si>
  <si>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</si>
  <si>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</si>
  <si>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</si>
  <si>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</si>
  <si>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</si>
  <si>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</si>
  <si>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</si>
  <si>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</si>
  <si>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</si>
  <si>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</si>
  <si>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</si>
  <si>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</si>
  <si>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</si>
  <si>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</si>
  <si>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</si>
  <si>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</si>
  <si>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</si>
  <si>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</si>
  <si>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</si>
  <si>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</si>
  <si>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</si>
  <si>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</si>
  <si>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</si>
  <si>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</si>
  <si>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</si>
  <si>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</si>
  <si>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</si>
  <si>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</si>
  <si>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</si>
  <si>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</si>
  <si>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</si>
  <si>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</si>
  <si>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</si>
  <si>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</si>
  <si>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</si>
  <si>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</si>
  <si>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</si>
  <si>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</si>
  <si>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</si>
  <si>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</si>
  <si>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</si>
  <si>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</si>
  <si>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</si>
  <si>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</si>
  <si>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</si>
  <si>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</si>
  <si>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</si>
  <si>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</si>
  <si>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</si>
  <si>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</si>
  <si>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</si>
  <si>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</si>
  <si>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</si>
  <si>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</si>
  <si>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</si>
  <si>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</si>
  <si>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</si>
  <si>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</si>
  <si>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</si>
  <si>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</si>
  <si>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</si>
  <si>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</si>
  <si>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</si>
  <si>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</si>
  <si>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</si>
  <si>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</si>
  <si>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</si>
  <si>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</si>
  <si>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</si>
  <si>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</si>
  <si>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</si>
  <si>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</si>
  <si>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</si>
  <si>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</si>
  <si>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</si>
  <si>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</si>
  <si>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</si>
  <si>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</si>
  <si>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</si>
  <si>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</si>
  <si>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</si>
  <si>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</si>
  <si>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</si>
  <si>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</si>
  <si>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</si>
  <si>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</si>
  <si>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</si>
  <si>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</si>
  <si>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</si>
  <si>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</si>
  <si>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</si>
  <si>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</si>
  <si>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</si>
  <si>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</si>
  <si>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</si>
  <si>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</si>
  <si>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</si>
  <si>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</si>
  <si>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</si>
  <si>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</si>
  <si>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</si>
  <si>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</si>
  <si>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</si>
  <si>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</si>
  <si>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</si>
  <si>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</si>
  <si>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</si>
  <si>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</si>
  <si>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</si>
  <si>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</si>
  <si>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</si>
  <si>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</si>
  <si>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</si>
  <si>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</si>
  <si>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</si>
  <si>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</si>
  <si>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</si>
  <si>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</si>
  <si>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</si>
  <si>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</si>
  <si>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</si>
  <si>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</si>
  <si>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</si>
  <si>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</si>
  <si>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</si>
  <si>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</si>
  <si>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</si>
  <si>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</si>
  <si>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</si>
  <si>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</si>
  <si>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</si>
  <si>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</si>
  <si>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</si>
  <si>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</si>
  <si>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</si>
  <si>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</si>
  <si>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</si>
  <si>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</si>
  <si>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</si>
  <si>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</si>
  <si>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</si>
  <si>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</si>
  <si>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</si>
  <si>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</si>
  <si>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</si>
  <si>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</si>
  <si>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</si>
  <si>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</si>
  <si>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</si>
  <si>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</si>
  <si>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</si>
  <si>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</si>
  <si>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</si>
  <si>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</si>
  <si>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</si>
  <si>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</si>
  <si>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</si>
  <si>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</si>
  <si>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</si>
  <si>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</si>
  <si>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</si>
  <si>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</si>
  <si>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</si>
  <si>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</si>
  <si>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</si>
  <si>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</si>
  <si>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</si>
  <si>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</si>
  <si>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</si>
  <si>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</si>
  <si>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</si>
  <si>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</si>
  <si>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</si>
  <si>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</si>
  <si>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</si>
  <si>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</si>
  <si>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</si>
  <si>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</si>
  <si>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</si>
  <si>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</si>
  <si>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</si>
  <si>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</si>
  <si>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</si>
  <si>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</si>
  <si>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</si>
  <si>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</si>
  <si>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</si>
  <si>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</si>
  <si>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</si>
  <si>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</si>
  <si>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</si>
  <si>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</si>
  <si>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</si>
  <si>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</si>
  <si>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</si>
  <si>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</si>
  <si>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</si>
  <si>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</si>
  <si>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</si>
  <si>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</si>
  <si>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</si>
  <si>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</si>
  <si>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</si>
  <si>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</si>
  <si>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</si>
  <si>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</si>
  <si>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</si>
  <si>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</si>
  <si>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</si>
  <si>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</si>
  <si>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</si>
  <si>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</si>
  <si>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</si>
  <si>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</si>
  <si>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</si>
  <si>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</si>
  <si>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</si>
  <si>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</si>
  <si>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</si>
  <si>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</si>
  <si>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</si>
  <si>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</si>
  <si>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</si>
  <si>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</si>
  <si>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</si>
  <si>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</si>
  <si>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</si>
  <si>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</si>
  <si>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</si>
  <si>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</si>
  <si>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</si>
  <si>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</si>
  <si>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</si>
  <si>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</si>
  <si>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</si>
  <si>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</si>
  <si>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</si>
  <si>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</si>
  <si>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</si>
  <si>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</si>
  <si>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</si>
  <si>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</si>
  <si>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</si>
  <si>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</si>
  <si>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</si>
  <si>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</si>
  <si>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</si>
  <si>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</si>
  <si>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</si>
  <si>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</si>
  <si>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</si>
  <si>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</si>
  <si>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</si>
  <si>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</si>
  <si>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</si>
  <si>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</si>
  <si>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</si>
  <si>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</si>
  <si>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</si>
  <si>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</si>
  <si>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</si>
  <si>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</si>
  <si>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</si>
  <si>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</si>
  <si>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</si>
  <si>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</si>
  <si>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</si>
  <si>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</si>
  <si>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</si>
  <si>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</si>
  <si>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</si>
  <si>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</si>
  <si>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</si>
  <si>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</si>
  <si>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</si>
  <si>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</si>
  <si>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</si>
  <si>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</si>
  <si>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</si>
  <si>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</si>
  <si>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</si>
  <si>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</si>
  <si>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</si>
  <si>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</si>
  <si>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</si>
  <si>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</si>
  <si>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</si>
  <si>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</si>
  <si>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</si>
  <si>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</si>
  <si>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</si>
  <si>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</si>
  <si>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</si>
  <si>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</si>
  <si>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</si>
  <si>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</si>
  <si>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</si>
  <si>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</si>
  <si>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</si>
  <si>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</si>
  <si>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</si>
  <si>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</si>
  <si>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</si>
  <si>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</si>
  <si>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</si>
  <si>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</si>
  <si>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</si>
  <si>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</si>
  <si>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</si>
  <si>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</si>
  <si>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</si>
  <si>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</si>
  <si>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</si>
  <si>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</si>
  <si>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</si>
  <si>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</si>
  <si>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</si>
  <si>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</si>
  <si>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</si>
  <si>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</si>
  <si>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</si>
  <si>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</si>
  <si>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</si>
  <si>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</si>
  <si>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</si>
  <si>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</si>
  <si>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</si>
  <si>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</si>
  <si>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</si>
  <si>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</si>
  <si>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</si>
  <si>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</si>
  <si>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</si>
  <si>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</si>
  <si>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</si>
  <si>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</si>
  <si>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</si>
  <si>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</si>
  <si>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</si>
  <si>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</si>
  <si>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</si>
  <si>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</si>
  <si>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</si>
  <si>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</si>
  <si>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</si>
  <si>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</si>
  <si>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</si>
  <si>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</si>
  <si>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</si>
  <si>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</si>
  <si>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</si>
  <si>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</si>
  <si>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</si>
  <si>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</si>
  <si>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</si>
  <si>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</si>
  <si>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</si>
  <si>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</si>
  <si>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</si>
  <si>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</si>
  <si>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</si>
  <si>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</si>
  <si>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</si>
  <si>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</si>
  <si>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</si>
  <si>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</si>
  <si>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</si>
  <si>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</si>
  <si>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</si>
  <si>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</si>
  <si>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</si>
  <si>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</si>
  <si>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</si>
  <si>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</si>
  <si>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</si>
  <si>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</si>
  <si>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</si>
  <si>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</si>
  <si>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</si>
  <si>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</si>
  <si>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</si>
  <si>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</si>
  <si>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</si>
  <si>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</si>
  <si>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</si>
  <si>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</si>
  <si>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</si>
  <si>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</si>
  <si>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</si>
  <si>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</si>
  <si>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</si>
  <si>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</si>
  <si>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</si>
  <si>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</si>
  <si>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</si>
  <si>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</si>
  <si>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</si>
  <si>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</si>
  <si>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</si>
  <si>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</si>
  <si>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</si>
  <si>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</si>
  <si>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</si>
  <si>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</si>
  <si>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</si>
  <si>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</si>
  <si>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</si>
  <si>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</si>
  <si>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</si>
  <si>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</si>
  <si>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</si>
  <si>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</si>
  <si>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</si>
  <si>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</si>
  <si>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</si>
  <si>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</si>
  <si>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</si>
  <si>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</si>
  <si>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</si>
  <si>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</si>
  <si>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</si>
  <si>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</si>
  <si>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</si>
  <si>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</si>
  <si>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</si>
  <si>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</si>
  <si>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</si>
  <si>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</si>
  <si>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</si>
  <si>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</si>
  <si>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</si>
  <si>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</si>
  <si>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</si>
  <si>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</si>
  <si>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</si>
  <si>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</si>
  <si>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</si>
  <si>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</si>
  <si>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</si>
  <si>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</si>
  <si>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</si>
  <si>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</si>
  <si>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</si>
  <si>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</si>
  <si>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</si>
  <si>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</si>
  <si>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</si>
  <si>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</si>
  <si>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</si>
  <si>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</si>
  <si>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</si>
  <si>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</si>
  <si>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</si>
  <si>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</si>
  <si>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</si>
  <si>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</si>
  <si>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</si>
  <si>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</si>
  <si>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</si>
  <si>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</si>
  <si>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</si>
  <si>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</si>
  <si>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</si>
  <si>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</si>
  <si>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</si>
  <si>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</si>
  <si>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</si>
  <si>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</si>
  <si>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</si>
  <si>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</si>
  <si>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</si>
  <si>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</si>
  <si>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</si>
  <si>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</si>
  <si>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</si>
  <si>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</si>
  <si>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</si>
  <si>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</si>
  <si>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</si>
  <si>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</si>
  <si>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</si>
  <si>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</si>
  <si>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</si>
  <si>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</si>
  <si>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</si>
  <si>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</si>
  <si>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</si>
  <si>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</si>
  <si>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</si>
  <si>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</si>
  <si>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</si>
  <si>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</si>
  <si>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</si>
  <si>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</si>
  <si>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</si>
  <si>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</si>
  <si>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</si>
  <si>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</si>
  <si>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</si>
  <si>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</si>
  <si>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</si>
  <si>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</si>
  <si>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</si>
  <si>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</si>
  <si>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</si>
  <si>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</si>
  <si>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</si>
  <si>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</si>
  <si>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</si>
  <si>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</si>
  <si>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</si>
  <si>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</si>
  <si>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</si>
  <si>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</si>
  <si>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</si>
  <si>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</si>
  <si>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</si>
  <si>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</si>
  <si>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</si>
  <si>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</si>
  <si>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</si>
  <si>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</si>
  <si>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</si>
  <si>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</si>
  <si>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</si>
  <si>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</si>
  <si>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</si>
  <si>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</si>
  <si>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</si>
  <si>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</si>
  <si>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</si>
  <si>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</si>
  <si>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</si>
  <si>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</si>
  <si>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</si>
  <si>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</si>
  <si>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</si>
  <si>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</si>
  <si>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</si>
  <si>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</si>
  <si>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</si>
  <si>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</si>
  <si>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</si>
  <si>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</si>
  <si>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</si>
  <si>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</si>
  <si>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</si>
  <si>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</si>
  <si>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</si>
  <si>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</si>
  <si>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</si>
  <si>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</si>
  <si>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</si>
  <si>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</si>
  <si>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</si>
  <si>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</si>
  <si>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</si>
  <si>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</si>
  <si>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</si>
  <si>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</si>
  <si>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</si>
  <si>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</si>
  <si>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</si>
  <si>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</si>
  <si>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</si>
  <si>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</si>
  <si>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</si>
  <si>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</si>
  <si>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</si>
  <si>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</si>
  <si>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</si>
  <si>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</si>
  <si>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</si>
  <si>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</si>
  <si>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</si>
  <si>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</si>
  <si>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</si>
  <si>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</si>
  <si>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</si>
  <si>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</si>
  <si>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</si>
  <si>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</si>
  <si>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</si>
  <si>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</si>
  <si>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</si>
  <si>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</si>
  <si>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</si>
  <si>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</si>
  <si>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</si>
  <si>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</si>
  <si>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</si>
  <si>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</si>
  <si>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</si>
  <si>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</si>
  <si>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</si>
  <si>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</si>
  <si>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</si>
  <si>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</si>
  <si>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</si>
  <si>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</si>
  <si>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</si>
  <si>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</si>
  <si>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</si>
  <si>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</si>
  <si>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</si>
  <si>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</si>
  <si>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</si>
  <si>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</si>
  <si>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</si>
  <si>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</si>
  <si>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</si>
  <si>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</si>
  <si>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</si>
  <si>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</si>
  <si>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</si>
  <si>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</si>
  <si>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</si>
  <si>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</si>
  <si>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</si>
  <si>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</si>
  <si>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</si>
  <si>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</si>
  <si>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</si>
  <si>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</si>
  <si>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</si>
  <si>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</si>
  <si>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</si>
  <si>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</si>
  <si>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</si>
  <si>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</si>
  <si>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</si>
  <si>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</si>
  <si>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</si>
  <si>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</si>
  <si>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</si>
  <si>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</si>
  <si>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</si>
  <si>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</si>
  <si>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</si>
  <si>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</si>
  <si>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</si>
  <si>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</si>
  <si>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</si>
  <si>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</si>
  <si>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</si>
  <si>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</si>
  <si>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</si>
  <si>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</si>
  <si>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</si>
  <si>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</si>
  <si>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</si>
  <si>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</si>
  <si>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</si>
  <si>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</si>
  <si>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</si>
  <si>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</si>
  <si>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</si>
  <si>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</si>
  <si>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</si>
  <si>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</si>
  <si>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</si>
  <si>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</si>
  <si>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</si>
  <si>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</si>
  <si>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</si>
  <si>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</si>
  <si>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</si>
  <si>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</si>
  <si>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</si>
  <si>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</si>
  <si>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</si>
  <si>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</si>
  <si>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</si>
  <si>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</si>
  <si>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</si>
  <si>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</si>
  <si>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</si>
  <si>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</si>
  <si>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</si>
  <si>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</si>
  <si>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</si>
  <si>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</si>
  <si>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</si>
  <si>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</si>
  <si>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</si>
  <si>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</si>
  <si>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</si>
  <si>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</si>
  <si>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</si>
  <si>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</si>
  <si>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</si>
  <si>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</si>
  <si>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</si>
  <si>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</si>
  <si>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</si>
  <si>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</si>
  <si>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</si>
  <si>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</si>
  <si>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</si>
  <si>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</si>
  <si>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</si>
  <si>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</si>
  <si>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</si>
  <si>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</si>
  <si>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</si>
  <si>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</si>
  <si>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</si>
  <si>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</si>
  <si>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</si>
  <si>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</si>
  <si>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</si>
  <si>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</si>
  <si>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</si>
  <si>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</si>
  <si>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</si>
  <si>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</si>
  <si>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</si>
  <si>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</si>
  <si>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</si>
  <si>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</si>
  <si>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</si>
  <si>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</si>
  <si>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</si>
  <si>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</si>
  <si>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</si>
  <si>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</si>
  <si>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</si>
  <si>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</si>
  <si>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</si>
  <si>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</si>
  <si>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</si>
  <si>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</si>
  <si>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</si>
  <si>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</si>
  <si>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</si>
  <si>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</si>
  <si>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</si>
  <si>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</si>
  <si>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</si>
  <si>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</si>
  <si>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</si>
  <si>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</si>
  <si>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</si>
  <si>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</si>
  <si>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</si>
  <si>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</si>
  <si>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</si>
  <si>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</si>
  <si>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</si>
  <si>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</si>
  <si>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</si>
  <si>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</si>
  <si>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</si>
  <si>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</si>
  <si>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</si>
  <si>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</si>
  <si>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</si>
  <si>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</si>
  <si>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</si>
  <si>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</si>
  <si>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</si>
  <si>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</si>
  <si>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</si>
  <si>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</si>
  <si>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</si>
  <si>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</si>
  <si>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</si>
  <si>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</si>
  <si>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</si>
  <si>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</si>
  <si>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</si>
  <si>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</si>
  <si>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</si>
  <si>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</si>
  <si>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</si>
  <si>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</si>
  <si>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</si>
  <si>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</si>
  <si>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</si>
  <si>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</si>
  <si>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</si>
  <si>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</si>
  <si>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</si>
  <si>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</si>
  <si>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</si>
  <si>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</si>
  <si>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</si>
  <si>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</si>
  <si>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</si>
  <si>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</si>
  <si>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</si>
  <si>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</si>
  <si>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</si>
  <si>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</si>
  <si>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</si>
  <si>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</si>
  <si>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</si>
  <si>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</si>
  <si>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</si>
  <si>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</si>
  <si>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</si>
  <si>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</si>
  <si>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</si>
  <si>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</si>
  <si>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</si>
  <si>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</si>
  <si>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</si>
  <si>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</si>
  <si>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</si>
  <si>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</si>
  <si>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</si>
  <si>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</si>
  <si>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</si>
  <si>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</si>
  <si>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</si>
  <si>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</si>
  <si>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</si>
  <si>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</si>
  <si>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</si>
  <si>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</si>
  <si>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</si>
  <si>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</si>
  <si>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</si>
  <si>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</si>
  <si>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</si>
  <si>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</si>
  <si>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</si>
  <si>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</si>
  <si>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</si>
  <si>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</si>
  <si>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</si>
  <si>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</si>
  <si>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</si>
  <si>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</si>
  <si>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</si>
  <si>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</si>
  <si>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</si>
  <si>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</si>
  <si>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</si>
  <si>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</si>
  <si>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</si>
  <si>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</si>
  <si>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</si>
  <si>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</si>
  <si>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</si>
  <si>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</si>
  <si>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</si>
  <si>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</si>
  <si>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</si>
  <si>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</si>
  <si>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</si>
  <si>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</si>
  <si>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</si>
  <si>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</si>
  <si>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</si>
  <si>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</si>
  <si>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</si>
  <si>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</si>
  <si>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</si>
  <si>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</si>
  <si>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</si>
  <si>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</si>
  <si>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</si>
  <si>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</si>
  <si>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</si>
  <si>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</si>
  <si>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</si>
  <si>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</si>
  <si>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</si>
  <si>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</si>
  <si>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</si>
  <si>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</si>
  <si>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</si>
  <si>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</si>
  <si>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</si>
  <si>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</si>
  <si>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</si>
  <si>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</si>
  <si>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</si>
  <si>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</si>
  <si>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</si>
  <si>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</si>
  <si>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</si>
  <si>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</si>
  <si>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</si>
  <si>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</si>
  <si>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</si>
  <si>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</si>
  <si>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</si>
  <si>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</si>
  <si>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</si>
  <si>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</si>
  <si>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</si>
  <si>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</si>
  <si>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</si>
  <si>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</si>
  <si>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</si>
  <si>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</si>
  <si>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</si>
  <si>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</si>
  <si>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</si>
  <si>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</si>
  <si>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</si>
  <si>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</si>
  <si>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</si>
  <si>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</si>
  <si>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</si>
  <si>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</si>
  <si>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</si>
  <si>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</si>
  <si>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</si>
  <si>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</si>
  <si>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</si>
  <si>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</si>
  <si>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</si>
  <si>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</si>
  <si>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</si>
  <si>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</si>
  <si>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</si>
  <si>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</si>
  <si>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</si>
  <si>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</si>
  <si>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</si>
  <si>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</si>
  <si>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</si>
  <si>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</si>
  <si>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</si>
  <si>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</si>
  <si>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</si>
  <si>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</si>
  <si>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</si>
  <si>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</si>
  <si>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</si>
  <si>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</si>
  <si>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</si>
  <si>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</si>
  <si>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</si>
  <si>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</si>
  <si>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</si>
  <si>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</si>
  <si>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</si>
  <si>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</si>
  <si>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</si>
  <si>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</si>
  <si>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</si>
  <si>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</si>
  <si>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</si>
  <si>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</si>
  <si>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</si>
  <si>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</si>
  <si>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</si>
  <si>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</si>
  <si>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</si>
  <si>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</si>
  <si>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</si>
  <si>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</si>
  <si>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</si>
  <si>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</si>
  <si>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</si>
  <si>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</si>
  <si>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</si>
  <si>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</si>
  <si>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</si>
  <si>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</si>
  <si>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</si>
  <si>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</si>
  <si>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</si>
  <si>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</si>
  <si>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</si>
  <si>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</si>
  <si>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</si>
  <si>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</si>
  <si>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</si>
  <si>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</si>
  <si>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</si>
  <si>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</si>
  <si>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</si>
  <si>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</si>
  <si>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</si>
  <si>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</si>
  <si>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</si>
  <si>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</si>
  <si>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</si>
  <si>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</si>
  <si>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</si>
  <si>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</si>
  <si>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</si>
  <si>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</si>
  <si>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</si>
  <si>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</si>
  <si>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</si>
  <si>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</si>
  <si>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</si>
  <si>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</si>
  <si>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</si>
  <si>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</si>
  <si>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</si>
  <si>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</si>
  <si>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</si>
  <si>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</si>
  <si>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</si>
  <si>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</si>
  <si>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</si>
  <si>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</si>
  <si>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</si>
  <si>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</si>
  <si>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</si>
  <si>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</si>
  <si>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</si>
  <si>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</si>
  <si>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</si>
  <si>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</si>
  <si>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</si>
  <si>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</si>
  <si>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</si>
  <si>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</si>
  <si>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</si>
  <si>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</si>
  <si>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</si>
  <si>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</si>
  <si>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</si>
  <si>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</si>
  <si>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</si>
  <si>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</si>
  <si>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</si>
  <si>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</si>
  <si>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</si>
  <si>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</si>
  <si>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</si>
  <si>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</si>
  <si>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</si>
  <si>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</si>
  <si>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</si>
  <si>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</si>
  <si>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</si>
  <si>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</si>
  <si>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</si>
  <si>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</si>
  <si>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</si>
  <si>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</si>
  <si>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</si>
  <si>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</si>
  <si>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</si>
  <si>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</si>
  <si>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</si>
  <si>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</si>
  <si>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</si>
  <si>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</si>
  <si>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</si>
  <si>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</si>
  <si>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</si>
  <si>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</si>
  <si>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</si>
  <si>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</si>
  <si>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</si>
  <si>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</si>
  <si>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</si>
  <si>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</si>
  <si>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</si>
  <si>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</si>
  <si>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</si>
  <si>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</si>
  <si>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</si>
  <si>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</si>
  <si>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</si>
  <si>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</si>
  <si>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</si>
  <si>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</si>
  <si>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</si>
  <si>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</si>
  <si>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</si>
  <si>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</si>
  <si>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</si>
  <si>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</si>
  <si>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</si>
  <si>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</si>
  <si>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</si>
  <si>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</si>
  <si>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</si>
  <si>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</si>
  <si>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</si>
  <si>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</si>
  <si>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</si>
  <si>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</si>
  <si>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</si>
  <si>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</si>
  <si>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</si>
  <si>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</si>
  <si>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</si>
  <si>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</si>
  <si>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</si>
  <si>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</si>
  <si>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</si>
  <si>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</si>
  <si>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</si>
  <si>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</si>
  <si>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</si>
  <si>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</si>
  <si>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</si>
  <si>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</si>
  <si>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</si>
  <si>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</si>
  <si>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</si>
  <si>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</si>
  <si>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</si>
  <si>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</si>
  <si>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</si>
  <si>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</si>
  <si>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</si>
  <si>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</si>
  <si>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</si>
  <si>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</si>
  <si>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</si>
  <si>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</si>
  <si>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</si>
  <si>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</si>
  <si>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</si>
  <si>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</si>
  <si>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</si>
  <si>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</si>
  <si>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</si>
  <si>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</si>
  <si>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</si>
  <si>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</si>
  <si>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</si>
  <si>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</si>
  <si>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</si>
  <si>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</si>
  <si>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</si>
  <si>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</si>
  <si>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</si>
  <si>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</si>
  <si>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</si>
  <si>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</si>
  <si>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</si>
  <si>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</si>
  <si>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</si>
  <si>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</si>
  <si>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</si>
  <si>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</si>
  <si>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</si>
  <si>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</si>
  <si>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</si>
  <si>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</si>
  <si>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</si>
  <si>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</si>
  <si>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</si>
  <si>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</si>
  <si>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</si>
  <si>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</si>
  <si>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</si>
  <si>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</si>
  <si>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</si>
  <si>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</si>
  <si>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</si>
  <si>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</si>
  <si>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</si>
  <si>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</si>
  <si>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</si>
  <si>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</si>
  <si>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</si>
  <si>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</si>
  <si>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</si>
  <si>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</si>
  <si>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</si>
  <si>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</si>
  <si>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</si>
  <si>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</si>
  <si>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</si>
  <si>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</si>
  <si>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</si>
  <si>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</si>
  <si>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</si>
  <si>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</si>
  <si>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</si>
  <si>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</si>
  <si>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</si>
  <si>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</si>
  <si>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</si>
  <si>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</si>
  <si>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</si>
  <si>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</si>
  <si>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</si>
  <si>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</si>
  <si>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</si>
  <si>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</si>
  <si>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</si>
  <si>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</si>
  <si>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</si>
  <si>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</si>
  <si>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</si>
  <si>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</si>
  <si>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</si>
  <si>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</si>
  <si>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</si>
  <si>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</si>
  <si>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</si>
  <si>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</si>
  <si>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</si>
  <si>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</si>
  <si>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</si>
  <si>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</si>
  <si>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</si>
  <si>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</si>
  <si>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</si>
  <si>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</si>
  <si>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</si>
  <si>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</si>
  <si>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</si>
  <si>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</si>
  <si>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</si>
  <si>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</si>
  <si>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</si>
  <si>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</si>
  <si>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</si>
  <si>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</si>
  <si>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</si>
  <si>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</si>
  <si>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</si>
  <si>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</si>
  <si>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</si>
  <si>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</si>
  <si>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</si>
  <si>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</si>
  <si>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</si>
  <si>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</si>
  <si>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</si>
  <si>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</si>
  <si>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</si>
  <si>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</si>
  <si>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</si>
  <si>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</si>
  <si>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</si>
  <si>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</si>
  <si>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</si>
  <si>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</si>
  <si>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</si>
  <si>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</si>
  <si>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</si>
  <si>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</si>
  <si>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</si>
  <si>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</si>
  <si>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</si>
  <si>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</si>
  <si>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</si>
  <si>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</si>
  <si>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</si>
  <si>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</si>
  <si>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</si>
  <si>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</si>
  <si>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</si>
  <si>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</si>
  <si>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</si>
  <si>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</si>
  <si>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</si>
  <si>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</si>
  <si>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</si>
  <si>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</si>
  <si>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</si>
  <si>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</si>
  <si>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</si>
  <si>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</si>
  <si>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</si>
  <si>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</si>
  <si>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</si>
  <si>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</si>
  <si>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</si>
  <si>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</si>
  <si>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</si>
  <si>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</si>
  <si>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</si>
  <si>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</si>
  <si>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</si>
  <si>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</si>
  <si>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</si>
  <si>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</si>
  <si>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</si>
  <si>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</si>
  <si>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</si>
  <si>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</si>
  <si>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</si>
  <si>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</si>
  <si>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</si>
  <si>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</si>
  <si>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</si>
  <si>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</si>
  <si>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</si>
  <si>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</si>
  <si>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</si>
  <si>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</si>
  <si>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</si>
  <si>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</si>
  <si>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</si>
  <si>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</si>
  <si>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</si>
  <si>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</si>
  <si>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</si>
  <si>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</si>
  <si>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</si>
  <si>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</si>
  <si>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</si>
  <si>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</si>
  <si>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</si>
  <si>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</si>
  <si>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</si>
  <si>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</si>
  <si>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</si>
  <si>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</si>
  <si>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</si>
  <si>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</si>
  <si>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</si>
  <si>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</si>
  <si>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</si>
  <si>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</si>
  <si>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</si>
  <si>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</si>
  <si>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</si>
  <si>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</si>
  <si>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</si>
  <si>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</si>
  <si>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</si>
  <si>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</si>
  <si>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</si>
  <si>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</si>
  <si>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</si>
  <si>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</si>
  <si>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</si>
  <si>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</si>
  <si>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</si>
  <si>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</si>
  <si>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</si>
  <si>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</si>
  <si>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</si>
  <si>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</si>
  <si>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</si>
  <si>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</si>
  <si>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</si>
  <si>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</si>
  <si>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</si>
  <si>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</si>
  <si>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</si>
  <si>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</si>
  <si>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</si>
  <si>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</si>
  <si>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</si>
  <si>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</si>
  <si>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</si>
  <si>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</si>
  <si>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</si>
  <si>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</si>
  <si>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</si>
  <si>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</si>
  <si>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</si>
  <si>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</si>
  <si>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</si>
  <si>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</si>
  <si>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</si>
  <si>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</si>
  <si>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</si>
  <si>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</si>
  <si>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</si>
  <si>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</si>
  <si>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</si>
  <si>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</si>
  <si>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</si>
  <si>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</si>
  <si>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</si>
  <si>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</si>
  <si>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</si>
  <si>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</si>
  <si>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</si>
  <si>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</si>
  <si>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</si>
  <si>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</si>
  <si>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</si>
  <si>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</si>
  <si>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</si>
  <si>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</si>
  <si>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</si>
  <si>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</si>
  <si>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</si>
  <si>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</si>
  <si>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</si>
  <si>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</si>
  <si>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</si>
  <si>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</si>
  <si>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</si>
  <si>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</si>
  <si>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</si>
  <si>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</si>
  <si>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</si>
  <si>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</si>
  <si>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</si>
  <si>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</si>
  <si>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</si>
  <si>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</si>
  <si>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</si>
  <si>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</si>
  <si>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</si>
  <si>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</si>
  <si>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</si>
  <si>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</si>
  <si>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</si>
  <si>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</si>
  <si>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</si>
  <si>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</si>
  <si>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</si>
  <si>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</si>
  <si>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</si>
  <si>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</si>
  <si>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</si>
  <si>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</si>
  <si>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</si>
  <si>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</si>
  <si>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</si>
  <si>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</si>
  <si>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</si>
  <si>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</si>
  <si>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</si>
  <si>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</si>
  <si>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</si>
  <si>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</si>
  <si>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</si>
  <si>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</si>
  <si>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</si>
  <si>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</si>
  <si>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</si>
  <si>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</si>
  <si>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</si>
  <si>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</si>
  <si>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</si>
  <si>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</si>
  <si>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</si>
  <si>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</si>
  <si>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</si>
  <si>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</si>
  <si>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</si>
  <si>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</si>
  <si>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</si>
  <si>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</si>
  <si>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</si>
  <si>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</si>
  <si>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</si>
  <si>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</si>
  <si>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</si>
  <si>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</si>
  <si>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</si>
  <si>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</si>
  <si>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</si>
  <si>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</si>
  <si>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</si>
  <si>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</si>
  <si>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</si>
  <si>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</si>
  <si>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</si>
  <si>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</si>
  <si>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</si>
  <si>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</si>
  <si>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</si>
  <si>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</si>
  <si>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</si>
  <si>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</si>
  <si>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</si>
  <si>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</si>
  <si>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</si>
  <si>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</si>
  <si>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</si>
  <si>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</si>
  <si>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</si>
  <si>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</si>
  <si>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</si>
  <si>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</si>
  <si>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</si>
  <si>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</si>
  <si>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</si>
  <si>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</si>
  <si>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</si>
  <si>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</si>
  <si>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</si>
  <si>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</si>
  <si>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</si>
  <si>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</si>
  <si>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</si>
  <si>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</si>
  <si>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</si>
  <si>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</si>
  <si>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</si>
  <si>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</si>
  <si>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</si>
  <si>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</si>
  <si>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</si>
  <si>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</si>
  <si>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</si>
  <si>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</si>
  <si>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</si>
  <si>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</si>
  <si>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</si>
  <si>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</si>
  <si>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</si>
  <si>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</si>
  <si>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</si>
  <si>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</si>
  <si>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</si>
  <si>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</si>
  <si>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</si>
  <si>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</si>
  <si>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</si>
  <si>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</si>
  <si>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</si>
  <si>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</si>
  <si>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</si>
  <si>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</si>
  <si>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</si>
  <si>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</si>
  <si>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</si>
  <si>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</si>
  <si>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</si>
  <si>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</si>
  <si>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</si>
  <si>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</si>
  <si>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</si>
  <si>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</si>
  <si>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</si>
  <si>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</si>
  <si>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</si>
  <si>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</si>
  <si>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</si>
  <si>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</si>
  <si>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</si>
  <si>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</si>
  <si>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</si>
  <si>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</si>
  <si>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</si>
  <si>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</si>
  <si>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</si>
  <si>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</si>
  <si>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</si>
  <si>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</si>
  <si>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</si>
  <si>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</si>
  <si>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</si>
  <si>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</si>
  <si>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</si>
  <si>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</si>
  <si>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</si>
  <si>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</si>
  <si>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</si>
  <si>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</si>
  <si>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</si>
  <si>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</si>
  <si>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</si>
  <si>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</si>
  <si>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</si>
  <si>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</si>
  <si>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</si>
  <si>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</si>
  <si>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</si>
  <si>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</si>
  <si>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</si>
  <si>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</si>
  <si>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</si>
  <si>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</si>
  <si>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</si>
  <si>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</si>
  <si>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</si>
  <si>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</si>
  <si>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</si>
  <si>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</si>
  <si>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</si>
  <si>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</si>
  <si>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</si>
  <si>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</si>
  <si>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</si>
  <si>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</si>
  <si>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</si>
  <si>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</si>
  <si>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</si>
  <si>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</si>
  <si>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</si>
  <si>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</si>
  <si>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</si>
  <si>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</si>
  <si>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</si>
  <si>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</si>
  <si>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</si>
  <si>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</si>
  <si>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</si>
  <si>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</si>
  <si>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</si>
  <si>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</si>
  <si>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</si>
  <si>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</si>
  <si>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</si>
  <si>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</si>
  <si>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</si>
  <si>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</si>
  <si>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</si>
  <si>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</si>
  <si>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</si>
  <si>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</si>
  <si>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</si>
  <si>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</si>
  <si>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</si>
  <si>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</si>
  <si>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</si>
  <si>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</si>
  <si>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</si>
  <si>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</si>
  <si>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</si>
  <si>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</si>
  <si>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</si>
  <si>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</si>
  <si>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</si>
  <si>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</si>
  <si>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</si>
  <si>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</si>
  <si>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</si>
  <si>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</si>
  <si>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</si>
  <si>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</si>
  <si>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</si>
  <si>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</si>
  <si>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</si>
  <si>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</si>
  <si>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</si>
  <si>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</si>
  <si>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</si>
  <si>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</si>
  <si>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</si>
  <si>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</si>
  <si>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</si>
  <si>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</si>
  <si>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</si>
  <si>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</si>
  <si>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</si>
  <si>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</si>
  <si>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</si>
  <si>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</si>
  <si>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</si>
  <si>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</si>
  <si>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</si>
  <si>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</si>
  <si>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</si>
  <si>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</si>
  <si>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</si>
  <si>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</si>
  <si>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</si>
  <si>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</si>
  <si>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</si>
  <si>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</si>
  <si>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</si>
  <si>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</si>
  <si>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</si>
  <si>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</si>
  <si>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</si>
  <si>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</si>
  <si>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</si>
  <si>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</si>
  <si>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</si>
  <si>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</si>
  <si>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</si>
  <si>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</si>
  <si>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</si>
  <si>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</si>
  <si>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</si>
  <si>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</si>
  <si>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</si>
  <si>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</si>
  <si>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</si>
  <si>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</si>
  <si>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</si>
  <si>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</si>
  <si>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</si>
  <si>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</si>
  <si>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</si>
  <si>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</si>
  <si>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</si>
  <si>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</si>
  <si>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</si>
  <si>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</si>
  <si>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</si>
  <si>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</si>
  <si>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</si>
  <si>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</si>
  <si>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</si>
  <si>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</si>
  <si>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</si>
  <si>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</si>
  <si>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</si>
  <si>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</si>
  <si>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</si>
  <si>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</si>
  <si>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</si>
  <si>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</si>
  <si>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</si>
  <si>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</si>
  <si>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</si>
  <si>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</si>
  <si>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</si>
  <si>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</si>
  <si>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</si>
  <si>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</si>
  <si>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</si>
  <si>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</si>
  <si>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</si>
  <si>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</si>
  <si>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</si>
  <si>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</si>
  <si>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</si>
  <si>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</si>
  <si>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</si>
  <si>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</si>
  <si>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</si>
  <si>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</si>
  <si>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</si>
  <si>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</si>
  <si>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</si>
  <si>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</si>
  <si>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</si>
  <si>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</si>
  <si>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</si>
  <si>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</si>
  <si>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</si>
  <si>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</si>
  <si>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</si>
  <si>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</si>
  <si>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</si>
  <si>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</si>
  <si>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</si>
  <si>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</si>
  <si>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</si>
  <si>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</si>
  <si>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</si>
  <si>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</si>
  <si>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</si>
  <si>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</si>
  <si>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</si>
  <si>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</si>
  <si>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</si>
  <si>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</si>
  <si>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</si>
  <si>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</si>
  <si>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</si>
  <si>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</si>
  <si>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</si>
  <si>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</si>
  <si>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</si>
  <si>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</si>
  <si>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</si>
  <si>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</si>
  <si>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</si>
  <si>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</si>
  <si>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</si>
  <si>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</si>
  <si>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</si>
  <si>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</si>
  <si>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</si>
  <si>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</si>
  <si>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</si>
  <si>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</si>
  <si>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</si>
  <si>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</si>
  <si>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</si>
  <si>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</si>
  <si>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</si>
  <si>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</si>
  <si>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</si>
  <si>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</si>
  <si>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</si>
  <si>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</si>
  <si>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</si>
  <si>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</si>
  <si>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</si>
  <si>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</si>
  <si>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</si>
  <si>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</si>
  <si>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</si>
  <si>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</si>
  <si>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</si>
  <si>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</si>
  <si>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</si>
  <si>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</si>
  <si>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</si>
  <si>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</si>
  <si>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</si>
  <si>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</si>
  <si>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</si>
  <si>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</si>
  <si>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</si>
  <si>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</si>
  <si>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</si>
  <si>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</si>
  <si>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</si>
  <si>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</si>
  <si>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</si>
  <si>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</si>
  <si>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</si>
  <si>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</si>
  <si>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</si>
  <si>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</si>
  <si>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</si>
  <si>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</si>
  <si>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</si>
  <si>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</si>
  <si>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</si>
  <si>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</si>
  <si>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</si>
  <si>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</si>
  <si>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</si>
  <si>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</si>
  <si>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</si>
  <si>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</si>
  <si>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</si>
  <si>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</si>
  <si>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</si>
  <si>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</si>
  <si>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</si>
  <si>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</si>
  <si>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</si>
  <si>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</si>
  <si>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</si>
  <si>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</si>
  <si>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</si>
  <si>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</si>
  <si>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</si>
  <si>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</si>
  <si>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</si>
  <si>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</si>
  <si>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</si>
  <si>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</si>
  <si>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</si>
  <si>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</si>
  <si>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</si>
  <si>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</si>
  <si>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</si>
  <si>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</si>
  <si>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</si>
  <si>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</si>
  <si>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</si>
  <si>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</si>
  <si>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</si>
  <si>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</si>
  <si>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</si>
  <si>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</si>
  <si>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</si>
  <si>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</si>
  <si>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</si>
  <si>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</si>
  <si>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</si>
  <si>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</si>
  <si>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</si>
  <si>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</si>
  <si>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</si>
  <si>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</si>
  <si>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</si>
  <si>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</si>
  <si>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</si>
  <si>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</si>
  <si>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</si>
  <si>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</si>
  <si>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</si>
  <si>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</si>
  <si>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</si>
  <si>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</si>
  <si>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</si>
  <si>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</si>
  <si>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</si>
  <si>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</si>
  <si>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</si>
  <si>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</si>
  <si>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</si>
  <si>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</si>
  <si>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</si>
  <si>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</si>
  <si>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</si>
  <si>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</si>
  <si>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</si>
  <si>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</si>
  <si>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</si>
  <si>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</si>
  <si>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</si>
  <si>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</si>
  <si>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</si>
  <si>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</si>
  <si>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</si>
  <si>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</si>
  <si>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</si>
  <si>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</si>
  <si>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</si>
  <si>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</si>
  <si>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</si>
  <si>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</si>
  <si>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</si>
  <si>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</si>
  <si>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</si>
  <si>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</si>
  <si>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</si>
  <si>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</si>
  <si>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</si>
  <si>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</si>
  <si>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</si>
  <si>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</si>
  <si>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</si>
  <si>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</si>
  <si>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</si>
  <si>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</si>
  <si>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</si>
  <si>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</si>
  <si>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</si>
  <si>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</si>
  <si>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</si>
  <si>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</si>
  <si>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</si>
  <si>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</si>
  <si>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</si>
  <si>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</si>
  <si>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</si>
  <si>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</si>
  <si>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</si>
  <si>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</si>
  <si>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</si>
  <si>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</si>
  <si>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</si>
  <si>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</si>
  <si>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</si>
  <si>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</si>
  <si>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</si>
  <si>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</si>
  <si>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</si>
  <si>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</si>
  <si>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</si>
  <si>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</si>
  <si>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</si>
  <si>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</si>
  <si>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</si>
  <si>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</si>
  <si>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</si>
  <si>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</si>
  <si>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</si>
  <si>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</si>
  <si>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</si>
  <si>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</si>
  <si>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</si>
  <si>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</si>
  <si>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</si>
  <si>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</si>
  <si>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</si>
  <si>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</si>
  <si>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</si>
  <si>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</si>
  <si>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</si>
  <si>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</si>
  <si>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</si>
  <si>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</si>
  <si>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</si>
  <si>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</si>
  <si>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</si>
  <si>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</si>
  <si>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</si>
  <si>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</si>
  <si>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</si>
  <si>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</si>
  <si>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</si>
  <si>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</si>
  <si>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</si>
  <si>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</si>
  <si>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</si>
  <si>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</si>
  <si>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</si>
  <si>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</si>
  <si>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</si>
  <si>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</si>
  <si>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</si>
  <si>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</si>
  <si>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</si>
  <si>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</si>
  <si>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</si>
  <si>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</si>
  <si>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</si>
  <si>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</si>
  <si>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</si>
  <si>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</si>
  <si>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</si>
  <si>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</si>
  <si>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</si>
  <si>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</si>
  <si>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</si>
  <si>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</si>
  <si>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</si>
  <si>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</si>
  <si>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</si>
  <si>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</si>
  <si>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</si>
  <si>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</si>
  <si>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</si>
  <si>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</si>
  <si>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</si>
  <si>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</si>
  <si>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</si>
  <si>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</si>
  <si>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</si>
  <si>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</si>
  <si>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</si>
  <si>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</si>
  <si>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</si>
  <si>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</si>
  <si>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</si>
  <si>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</si>
  <si>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</si>
  <si>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</si>
  <si>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</si>
  <si>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</si>
  <si>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</si>
  <si>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</si>
  <si>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</si>
  <si>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</si>
  <si>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</si>
  <si>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</si>
  <si>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</si>
  <si>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</si>
  <si>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</si>
  <si>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</si>
  <si>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</si>
  <si>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</si>
  <si>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</si>
  <si>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</si>
  <si>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</si>
  <si>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</si>
  <si>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</si>
  <si>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</si>
  <si>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</si>
  <si>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</si>
  <si>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</si>
  <si>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</si>
  <si>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</si>
  <si>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</si>
  <si>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</si>
  <si>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</si>
  <si>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</si>
  <si>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</si>
  <si>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</si>
  <si>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</si>
  <si>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</si>
  <si>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</si>
  <si>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</si>
  <si>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</si>
  <si>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</si>
  <si>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</si>
  <si>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</si>
  <si>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</si>
  <si>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</si>
  <si>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</si>
  <si>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</si>
  <si>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</si>
  <si>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</si>
  <si>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</si>
  <si>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</si>
  <si>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</si>
  <si>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</si>
  <si>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</si>
  <si>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</si>
  <si>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</si>
  <si>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</si>
  <si>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</si>
  <si>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</si>
  <si>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</si>
  <si>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</si>
  <si>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</si>
  <si>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</si>
  <si>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</si>
  <si>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</si>
  <si>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</si>
  <si>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</si>
  <si>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</si>
  <si>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</si>
  <si>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</si>
  <si>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</si>
  <si>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</si>
  <si>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</si>
  <si>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</si>
  <si>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</si>
  <si>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</si>
  <si>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</si>
  <si>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</si>
  <si>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</si>
  <si>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</si>
  <si>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</si>
  <si>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</si>
  <si>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</si>
  <si>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</si>
  <si>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</si>
  <si>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</si>
  <si>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</si>
  <si>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</si>
  <si>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</si>
  <si>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</si>
  <si>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</si>
  <si>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</si>
  <si>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</si>
  <si>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</si>
  <si>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</si>
  <si>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</si>
  <si>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</si>
  <si>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</si>
  <si>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</si>
  <si>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</si>
  <si>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</si>
  <si>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</si>
  <si>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</si>
  <si>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</si>
  <si>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</si>
  <si>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</si>
  <si>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</si>
  <si>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</si>
  <si>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</si>
  <si>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</si>
  <si>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</si>
  <si>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</si>
  <si>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</si>
  <si>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</si>
  <si>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</si>
  <si>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</si>
  <si>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</si>
  <si>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</si>
  <si>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</si>
  <si>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</si>
  <si>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</si>
  <si>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</si>
  <si>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</si>
  <si>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</si>
  <si>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</si>
  <si>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</si>
  <si>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</si>
  <si>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</si>
  <si>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</si>
  <si>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</si>
  <si>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</si>
  <si>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</si>
  <si>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</si>
  <si>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</si>
  <si>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</si>
  <si>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</si>
  <si>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</si>
  <si>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</si>
  <si>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</si>
  <si>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</si>
  <si>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</si>
  <si>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</si>
  <si>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</si>
  <si>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</si>
  <si>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</si>
  <si>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</si>
  <si>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</si>
  <si>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</si>
  <si>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</si>
  <si>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</si>
  <si>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</si>
  <si>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</si>
  <si>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</si>
  <si>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</si>
  <si>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</si>
  <si>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</si>
  <si>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</si>
  <si>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</si>
  <si>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</si>
  <si>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</si>
  <si>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</si>
  <si>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</si>
  <si>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</si>
  <si>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</si>
  <si>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</si>
  <si>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</si>
  <si>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</si>
  <si>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</si>
  <si>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</si>
  <si>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</si>
  <si>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</si>
  <si>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</si>
  <si>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</si>
  <si>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</si>
  <si>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</si>
  <si>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</si>
  <si>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</si>
  <si>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</si>
  <si>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</si>
  <si>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</si>
  <si>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</si>
  <si>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</si>
  <si>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</si>
  <si>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</si>
  <si>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</si>
  <si>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</si>
  <si>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</si>
  <si>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</si>
  <si>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</si>
  <si>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</si>
  <si>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</si>
  <si>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</si>
  <si>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</si>
  <si>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</si>
  <si>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</si>
  <si>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</si>
  <si>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</si>
  <si>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</si>
  <si>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</si>
  <si>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</si>
  <si>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</si>
  <si>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</si>
  <si>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</si>
  <si>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</si>
  <si>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</si>
  <si>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</si>
  <si>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</si>
  <si>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</si>
  <si>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</si>
  <si>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</si>
  <si>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</si>
  <si>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</si>
  <si>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</si>
  <si>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</si>
  <si>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</si>
  <si>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</si>
  <si>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</si>
  <si>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</si>
  <si>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</si>
  <si>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</si>
  <si>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</si>
  <si>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</si>
  <si>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</si>
  <si>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</si>
  <si>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</si>
  <si>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</si>
  <si>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</si>
  <si>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</si>
  <si>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</si>
  <si>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</si>
  <si>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</si>
  <si>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</si>
  <si>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</si>
  <si>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</si>
  <si>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</si>
  <si>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</si>
  <si>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</si>
  <si>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</si>
  <si>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</si>
  <si>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</si>
  <si>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</si>
  <si>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</si>
  <si>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</si>
  <si>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</si>
  <si>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</si>
  <si>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</si>
  <si>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</si>
  <si>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</si>
  <si>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</si>
  <si>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</si>
  <si>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</si>
  <si>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</si>
  <si>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</si>
  <si>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</si>
  <si>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</si>
  <si>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</si>
  <si>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</si>
  <si>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</si>
  <si>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</si>
  <si>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</si>
  <si>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</si>
  <si>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</si>
  <si>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</si>
  <si>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</si>
  <si>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</si>
  <si>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</si>
  <si>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</si>
  <si>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</si>
  <si>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</si>
  <si>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</si>
  <si>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</si>
  <si>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</si>
  <si>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</si>
  <si>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</si>
  <si>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</si>
  <si>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</si>
  <si>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</si>
  <si>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</si>
  <si>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</si>
  <si>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</si>
  <si>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</si>
  <si>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</si>
  <si>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</si>
  <si>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</si>
  <si>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</si>
  <si>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</si>
  <si>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</si>
  <si>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</si>
  <si>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</si>
  <si>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</si>
  <si>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</si>
  <si>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</si>
  <si>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</si>
  <si>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</si>
  <si>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</si>
  <si>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</si>
  <si>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</si>
  <si>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</si>
  <si>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</si>
  <si>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</si>
  <si>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</si>
  <si>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</si>
  <si>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</si>
  <si>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</si>
  <si>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</si>
  <si>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</si>
  <si>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</si>
  <si>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</si>
  <si>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</si>
  <si>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</si>
  <si>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</si>
  <si>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</si>
  <si>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</si>
  <si>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</si>
  <si>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</si>
  <si>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</si>
  <si>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</si>
  <si>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</si>
  <si>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</si>
  <si>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</si>
  <si>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</si>
  <si>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</si>
  <si>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</si>
  <si>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</si>
  <si>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</si>
  <si>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</si>
  <si>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</si>
  <si>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</si>
  <si>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</si>
  <si>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</si>
  <si>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</si>
  <si>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</si>
  <si>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</si>
  <si>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</si>
  <si>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</si>
  <si>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</si>
  <si>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</si>
  <si>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</si>
  <si>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</si>
  <si>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</si>
  <si>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</si>
  <si>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</si>
  <si>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</si>
  <si>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</si>
  <si>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</si>
  <si>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</si>
  <si>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</si>
  <si>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</si>
  <si>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</si>
  <si>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</si>
  <si>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</si>
  <si>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</si>
  <si>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</si>
  <si>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</si>
  <si>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</si>
  <si>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</si>
  <si>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</si>
  <si>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</si>
  <si>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</si>
  <si>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</si>
  <si>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</si>
  <si>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</si>
  <si>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</si>
  <si>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</si>
  <si>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</si>
  <si>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</si>
  <si>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</si>
  <si>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</si>
  <si>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</si>
  <si>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</si>
  <si>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</si>
  <si>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</si>
  <si>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</si>
  <si>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</si>
  <si>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</si>
  <si>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</si>
  <si>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</si>
  <si>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</si>
  <si>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</si>
  <si>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</si>
  <si>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</si>
  <si>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</si>
  <si>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</si>
  <si>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</si>
  <si>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</si>
  <si>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</si>
  <si>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</si>
  <si>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</si>
  <si>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</si>
  <si>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</si>
  <si>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</si>
  <si>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</si>
  <si>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</si>
  <si>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</si>
  <si>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</si>
  <si>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</si>
  <si>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</si>
  <si>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</si>
  <si>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</si>
  <si>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</si>
  <si>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</si>
  <si>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</si>
  <si>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</si>
  <si>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</si>
  <si>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</si>
  <si>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</si>
  <si>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</si>
  <si>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</si>
  <si>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</si>
  <si>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</si>
  <si>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</si>
  <si>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</si>
  <si>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</si>
  <si>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</si>
  <si>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</si>
  <si>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</si>
  <si>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</si>
  <si>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</si>
  <si>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</si>
  <si>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</si>
  <si>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</si>
  <si>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</si>
  <si>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</si>
  <si>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</si>
  <si>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</si>
  <si>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</si>
  <si>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</si>
  <si>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</si>
  <si>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</si>
  <si>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</si>
  <si>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</si>
  <si>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</si>
  <si>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</si>
  <si>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</si>
  <si>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</si>
  <si>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</si>
  <si>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</si>
  <si>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</si>
  <si>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</si>
  <si>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</si>
  <si>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</si>
  <si>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</si>
  <si>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</si>
  <si>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</si>
  <si>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</si>
  <si>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</si>
  <si>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</si>
  <si>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</si>
  <si>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</si>
  <si>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</si>
  <si>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</si>
  <si>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</si>
  <si>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</si>
  <si>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</si>
  <si>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</si>
  <si>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</si>
  <si>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</si>
  <si>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</si>
  <si>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</si>
  <si>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</si>
  <si>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</si>
  <si>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</si>
  <si>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</si>
  <si>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</si>
  <si>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</si>
  <si>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</si>
  <si>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</si>
  <si>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</si>
  <si>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</si>
  <si>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</si>
  <si>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</si>
  <si>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</si>
  <si>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</si>
  <si>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</si>
  <si>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</si>
  <si>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</si>
  <si>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</si>
  <si>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</si>
  <si>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</si>
  <si>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</si>
  <si>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</si>
  <si>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</si>
  <si>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</si>
  <si>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</si>
  <si>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</si>
  <si>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</si>
  <si>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</si>
  <si>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</si>
  <si>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</si>
  <si>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</si>
  <si>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</si>
  <si>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</si>
  <si>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</si>
  <si>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</si>
  <si>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</si>
  <si>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</si>
  <si>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</si>
  <si>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</si>
  <si>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</si>
  <si>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</si>
  <si>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</si>
  <si>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</si>
  <si>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</si>
  <si>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</si>
  <si>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</si>
  <si>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</si>
  <si>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</si>
  <si>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</si>
  <si>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</si>
  <si>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</si>
  <si>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</si>
  <si>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</si>
  <si>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</si>
  <si>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</si>
  <si>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</si>
  <si>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</si>
  <si>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</si>
  <si>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</si>
  <si>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</si>
  <si>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</si>
  <si>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</si>
  <si>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</si>
  <si>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</si>
  <si>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</si>
  <si>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</si>
  <si>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</si>
  <si>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</si>
  <si>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</si>
  <si>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</si>
  <si>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</si>
  <si>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</si>
  <si>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</si>
  <si>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</si>
  <si>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</si>
  <si>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</si>
  <si>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</si>
  <si>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</si>
  <si>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</si>
  <si>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</si>
  <si>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</si>
  <si>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</si>
  <si>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</si>
  <si>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</si>
  <si>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</si>
  <si>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</si>
  <si>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</si>
  <si>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</si>
  <si>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</si>
  <si>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</si>
  <si>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</si>
  <si>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</si>
  <si>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</si>
  <si>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</si>
  <si>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</si>
  <si>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</si>
  <si>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</si>
  <si>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</si>
  <si>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</si>
  <si>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</si>
  <si>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</si>
  <si>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</si>
  <si>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</si>
  <si>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</si>
  <si>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</si>
  <si>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</si>
  <si>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</si>
  <si>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</si>
  <si>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</si>
  <si>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</si>
  <si>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</si>
  <si>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</si>
  <si>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</si>
  <si>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</si>
  <si>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</si>
  <si>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</si>
  <si>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</si>
  <si>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</si>
  <si>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</si>
  <si>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</si>
  <si>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</si>
  <si>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</si>
  <si>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</si>
  <si>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</si>
  <si>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</si>
  <si>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</si>
  <si>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</si>
  <si>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</si>
  <si>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</si>
  <si>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</si>
  <si>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</si>
  <si>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</si>
  <si>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</si>
  <si>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</si>
  <si>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</si>
  <si>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</si>
  <si>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</si>
  <si>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</si>
  <si>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</si>
  <si>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</si>
  <si>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</si>
  <si>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</si>
  <si>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</si>
  <si>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</si>
  <si>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</si>
  <si>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</si>
  <si>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</si>
  <si>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</si>
  <si>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</si>
  <si>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</si>
  <si>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</si>
  <si>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</si>
  <si>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</si>
  <si>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</si>
  <si>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</si>
  <si>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</si>
  <si>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</si>
  <si>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</si>
  <si>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</si>
  <si>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</si>
  <si>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</si>
  <si>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</si>
  <si>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</si>
  <si>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</si>
  <si>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</si>
  <si>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</si>
  <si>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</si>
  <si>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</si>
  <si>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</si>
  <si>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</si>
  <si>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</si>
  <si>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</si>
  <si>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</si>
  <si>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</si>
  <si>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</si>
  <si>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</si>
  <si>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</si>
  <si>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</si>
  <si>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</si>
  <si>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</si>
  <si>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</si>
  <si>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</si>
  <si>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</si>
  <si>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</si>
  <si>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</si>
  <si>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</si>
  <si>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</si>
  <si>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</si>
  <si>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</si>
  <si>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</si>
  <si>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</si>
  <si>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</si>
  <si>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</si>
  <si>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</si>
  <si>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</si>
  <si>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</si>
  <si>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</si>
  <si>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</si>
  <si>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</si>
  <si>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</si>
  <si>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</si>
  <si>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</si>
  <si>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</si>
  <si>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</si>
  <si>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</si>
  <si>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</si>
  <si>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</si>
  <si>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</si>
  <si>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</si>
  <si>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</si>
  <si>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</si>
  <si>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</si>
  <si>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</si>
  <si>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</si>
  <si>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</si>
  <si>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</si>
  <si>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</si>
  <si>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</si>
  <si>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</si>
  <si>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</si>
  <si>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</si>
  <si>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</si>
  <si>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</si>
  <si>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</si>
  <si>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</si>
  <si>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</si>
  <si>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</si>
  <si>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</si>
  <si>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</si>
  <si>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</si>
  <si>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</si>
  <si>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</si>
  <si>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</si>
  <si>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</si>
  <si>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</si>
  <si>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</si>
  <si>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</si>
  <si>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</si>
  <si>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</si>
  <si>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</si>
  <si>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</si>
  <si>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</si>
  <si>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</si>
  <si>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</si>
  <si>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</si>
  <si>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</si>
  <si>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</si>
  <si>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</si>
  <si>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</si>
  <si>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</si>
  <si>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</si>
  <si>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</si>
  <si>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</si>
  <si>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</si>
  <si>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</si>
  <si>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</si>
  <si>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</si>
  <si>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</si>
  <si>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</si>
  <si>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</si>
  <si>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</si>
  <si>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</si>
  <si>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</si>
  <si>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</si>
  <si>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</si>
  <si>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</si>
  <si>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</si>
  <si>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</si>
  <si>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</si>
  <si>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</si>
  <si>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</si>
  <si>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</si>
  <si>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</si>
  <si>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</si>
  <si>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</si>
  <si>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</si>
  <si>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</si>
  <si>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</si>
  <si>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</si>
  <si>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</si>
  <si>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</si>
  <si>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</si>
  <si>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</si>
  <si>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</si>
  <si>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</si>
  <si>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</si>
  <si>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</si>
  <si>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</si>
  <si>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</si>
  <si>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</si>
  <si>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</si>
  <si>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</si>
  <si>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</si>
  <si>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</si>
  <si>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</si>
  <si>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</si>
  <si>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</si>
  <si>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</si>
  <si>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</si>
  <si>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</si>
  <si>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</si>
  <si>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</si>
  <si>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</si>
  <si>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</si>
  <si>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</si>
  <si>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</si>
  <si>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</si>
  <si>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</si>
  <si>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</si>
  <si>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</si>
  <si>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</si>
  <si>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</si>
  <si>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</si>
  <si>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</si>
  <si>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</si>
  <si>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</si>
  <si>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</si>
  <si>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</si>
  <si>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</si>
  <si>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</si>
  <si>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</si>
  <si>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</si>
  <si>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</si>
  <si>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</si>
  <si>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</si>
  <si>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</si>
  <si>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</si>
  <si>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</si>
  <si>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</si>
  <si>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</si>
  <si>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</si>
  <si>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</si>
  <si>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</si>
  <si>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</si>
  <si>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</si>
  <si>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</si>
  <si>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</si>
  <si>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</si>
  <si>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</si>
  <si>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</si>
  <si>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</si>
  <si>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</si>
  <si>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</si>
  <si>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</si>
  <si>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</si>
  <si>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</si>
  <si>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</si>
  <si>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</si>
  <si>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</si>
  <si>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</si>
  <si>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</si>
  <si>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</si>
  <si>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</si>
  <si>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</si>
  <si>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</si>
  <si>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</si>
  <si>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</si>
  <si>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</si>
  <si>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</si>
  <si>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</si>
  <si>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</si>
  <si>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</si>
  <si>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</si>
  <si>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</si>
  <si>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</si>
  <si>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</si>
  <si>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</si>
  <si>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</si>
  <si>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</si>
  <si>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</si>
  <si>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</si>
  <si>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</si>
  <si>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</si>
  <si>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</si>
  <si>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</si>
  <si>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</si>
  <si>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</si>
  <si>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</si>
  <si>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</si>
  <si>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</si>
  <si>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</si>
  <si>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</si>
  <si>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</si>
  <si>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</si>
  <si>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</si>
  <si>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</si>
  <si>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</si>
  <si>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</si>
  <si>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</si>
  <si>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</si>
  <si>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</si>
  <si>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</si>
  <si>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</si>
  <si>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</si>
  <si>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</si>
  <si>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</si>
  <si>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</si>
  <si>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</si>
  <si>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</si>
  <si>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</si>
  <si>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</si>
  <si>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</si>
  <si>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</si>
  <si>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</si>
  <si>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</si>
  <si>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</si>
  <si>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</si>
  <si>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</si>
  <si>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</si>
  <si>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</si>
  <si>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</si>
  <si>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</si>
  <si>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</si>
  <si>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</si>
  <si>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</si>
  <si>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</si>
  <si>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</si>
  <si>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</si>
  <si>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</si>
  <si>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</si>
  <si>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</si>
  <si>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</si>
  <si>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</si>
  <si>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</si>
  <si>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</si>
  <si>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</si>
  <si>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</si>
  <si>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</si>
  <si>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</si>
  <si>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</si>
  <si>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</si>
  <si>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</si>
  <si>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</si>
  <si>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</si>
  <si>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</si>
  <si>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</si>
  <si>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</si>
  <si>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</si>
  <si>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</si>
  <si>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</si>
  <si>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</si>
  <si>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</si>
  <si>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</si>
  <si>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</si>
  <si>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</si>
  <si>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</si>
  <si>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</si>
  <si>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</si>
  <si>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</si>
  <si>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</si>
  <si>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</si>
  <si>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</si>
  <si>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</si>
  <si>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</si>
  <si>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</si>
  <si>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</si>
  <si>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</si>
  <si>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</si>
  <si>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</si>
  <si>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</si>
  <si>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</si>
  <si>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</si>
  <si>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</si>
  <si>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</si>
  <si>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</si>
  <si>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</si>
  <si>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</si>
  <si>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</si>
  <si>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</si>
  <si>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</si>
  <si>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</si>
  <si>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</si>
  <si>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</si>
  <si>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</si>
  <si>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</si>
  <si>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</si>
  <si>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</si>
  <si>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</si>
  <si>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</si>
  <si>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</si>
  <si>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</si>
  <si>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</si>
  <si>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</si>
  <si>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</si>
  <si>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</si>
  <si>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</si>
  <si>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</si>
  <si>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</si>
  <si>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</si>
  <si>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</si>
  <si>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</si>
  <si>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</si>
  <si>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</si>
  <si>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</si>
  <si>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</si>
  <si>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</si>
  <si>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</si>
  <si>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</si>
  <si>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</si>
  <si>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</si>
  <si>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</si>
  <si>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</si>
  <si>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</si>
  <si>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</si>
  <si>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</si>
  <si>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</si>
  <si>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</si>
  <si>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</si>
  <si>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</si>
  <si>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</si>
  <si>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</si>
  <si>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</si>
  <si>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</si>
  <si>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</si>
  <si>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</si>
  <si>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</si>
  <si>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</si>
  <si>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</si>
  <si>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</si>
  <si>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</si>
  <si>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</si>
  <si>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</si>
  <si>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</si>
  <si>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</si>
  <si>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</si>
  <si>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</si>
  <si>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</si>
  <si>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</si>
  <si>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</si>
  <si>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</si>
  <si>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</si>
  <si>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</si>
  <si>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</si>
  <si>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</si>
  <si>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</si>
  <si>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</si>
  <si>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</si>
  <si>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</si>
  <si>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</si>
  <si>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</si>
  <si>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</si>
  <si>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</si>
  <si>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</si>
  <si>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</si>
  <si>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</si>
  <si>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</si>
  <si>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</si>
  <si>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</si>
  <si>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</si>
  <si>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</si>
  <si>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</si>
  <si>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</si>
  <si>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</si>
  <si>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</si>
  <si>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</si>
  <si>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</si>
  <si>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</si>
  <si>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</si>
  <si>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</si>
  <si>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</si>
  <si>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</si>
  <si>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</si>
  <si>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</si>
  <si>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</si>
  <si>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</si>
  <si>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</si>
  <si>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</si>
  <si>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</si>
  <si>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</si>
  <si>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</si>
  <si>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</si>
  <si>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</si>
  <si>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</si>
  <si>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</si>
  <si>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</si>
  <si>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</si>
  <si>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</si>
  <si>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</si>
  <si>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</si>
  <si>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</si>
  <si>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</si>
  <si>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</si>
  <si>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</si>
  <si>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</si>
  <si>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</si>
  <si>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</si>
  <si>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</si>
  <si>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</si>
  <si>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</si>
  <si>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</si>
  <si>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</si>
  <si>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</si>
  <si>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</si>
  <si>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</si>
  <si>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</si>
  <si>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</si>
  <si>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</si>
  <si>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</si>
  <si>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</si>
  <si>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</si>
  <si>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</si>
  <si>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</si>
  <si>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</si>
  <si>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</si>
  <si>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</si>
  <si>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</si>
  <si>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</si>
  <si>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</si>
  <si>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</si>
  <si>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</si>
  <si>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</si>
  <si>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</si>
  <si>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</si>
  <si>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</si>
  <si>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</si>
  <si>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</si>
  <si>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</si>
  <si>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</si>
  <si>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</si>
  <si>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</si>
  <si>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</si>
  <si>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</si>
  <si>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</si>
  <si>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</si>
  <si>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</si>
  <si>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</si>
  <si>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</si>
  <si>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</si>
  <si>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</si>
  <si>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</si>
  <si>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</si>
  <si>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</si>
  <si>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</si>
  <si>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</si>
  <si>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</si>
  <si>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</si>
  <si>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</si>
  <si>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</si>
  <si>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</si>
  <si>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</si>
  <si>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</si>
  <si>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</si>
  <si>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</si>
  <si>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</si>
  <si>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</si>
  <si>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</si>
  <si>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</si>
  <si>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</si>
  <si>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</si>
  <si>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</si>
  <si>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</si>
  <si>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</si>
  <si>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</si>
  <si>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</si>
  <si>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</si>
  <si>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</si>
  <si>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</si>
  <si>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</si>
  <si>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</si>
  <si>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</si>
  <si>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</si>
  <si>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</si>
  <si>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</si>
  <si>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</si>
  <si>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</si>
  <si>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</si>
  <si>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</si>
  <si>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</si>
  <si>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</si>
  <si>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</si>
  <si>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</si>
  <si>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</si>
  <si>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</si>
  <si>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</si>
  <si>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</si>
  <si>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</si>
  <si>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</si>
  <si>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</si>
  <si>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</si>
  <si>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</si>
  <si>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</si>
  <si>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</si>
  <si>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</si>
  <si>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</si>
  <si>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</si>
  <si>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</si>
  <si>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</si>
  <si>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</si>
  <si>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</si>
  <si>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</si>
  <si>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</si>
  <si>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</si>
  <si>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</si>
  <si>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</si>
  <si>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</si>
  <si>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</si>
  <si>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</si>
  <si>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</si>
  <si>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</si>
  <si>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</si>
  <si>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</si>
  <si>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</si>
  <si>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</si>
  <si>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</si>
  <si>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</si>
  <si>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</si>
  <si>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</si>
  <si>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</si>
  <si>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</si>
  <si>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</si>
  <si>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</si>
  <si>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</si>
  <si>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</si>
  <si>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</si>
  <si>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</si>
  <si>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</si>
  <si>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</si>
  <si>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</si>
  <si>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</si>
  <si>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</si>
  <si>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</si>
  <si>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</si>
  <si>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</si>
  <si>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</si>
  <si>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</si>
  <si>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</si>
  <si>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</si>
  <si>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</si>
  <si>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</si>
  <si>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</si>
  <si>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</si>
  <si>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</si>
  <si>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</si>
  <si>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</si>
  <si>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</si>
  <si>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</si>
  <si>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</si>
  <si>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</si>
  <si>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</si>
  <si>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</si>
  <si>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</si>
  <si>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</si>
  <si>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</si>
  <si>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</si>
  <si>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</si>
  <si>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</si>
  <si>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</si>
  <si>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</si>
  <si>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</si>
  <si>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</si>
  <si>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</si>
  <si>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</si>
  <si>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</si>
  <si>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</si>
  <si>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</si>
  <si>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</si>
  <si>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</si>
  <si>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</si>
  <si>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</si>
  <si>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</si>
  <si>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</si>
  <si>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</si>
  <si>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</si>
  <si>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</si>
  <si>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</si>
  <si>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</si>
  <si>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</si>
  <si>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</si>
  <si>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</si>
  <si>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</si>
  <si>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</si>
  <si>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</si>
  <si>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</si>
  <si>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</si>
  <si>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</si>
  <si>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</si>
  <si>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</si>
  <si>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</si>
  <si>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</si>
  <si>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</si>
  <si>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</si>
  <si>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</si>
  <si>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</si>
  <si>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</si>
  <si>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</si>
  <si>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</si>
  <si>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</si>
  <si>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</si>
  <si>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</si>
  <si>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</si>
  <si>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</si>
  <si>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</si>
  <si>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</si>
  <si>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</si>
  <si>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</si>
  <si>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</si>
  <si>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</si>
  <si>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</si>
  <si>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</si>
  <si>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</si>
  <si>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</si>
  <si>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</si>
  <si>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</si>
  <si>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</si>
  <si>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</si>
  <si>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</si>
  <si>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</si>
  <si>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</si>
  <si>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</si>
  <si>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</si>
  <si>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</si>
  <si>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</si>
  <si>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</si>
  <si>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</si>
  <si>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</si>
  <si>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</si>
  <si>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</si>
  <si>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</si>
  <si>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</si>
  <si>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</si>
  <si>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</si>
  <si>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</si>
  <si>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</si>
  <si>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</si>
  <si>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</si>
  <si>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</si>
  <si>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</si>
  <si>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</si>
  <si>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</si>
  <si>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</si>
  <si>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</si>
  <si>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</si>
  <si>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</si>
  <si>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</si>
  <si>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</si>
  <si>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</si>
  <si>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</si>
  <si>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</si>
  <si>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</si>
  <si>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</si>
  <si>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</si>
  <si>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</si>
  <si>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</si>
  <si>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</si>
  <si>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</si>
  <si>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</si>
  <si>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</si>
  <si>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</si>
  <si>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</si>
  <si>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</si>
  <si>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</si>
  <si>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</si>
  <si>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</si>
  <si>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</si>
  <si>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</si>
  <si>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</si>
  <si>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</si>
  <si>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</si>
  <si>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</si>
  <si>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</si>
  <si>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</si>
  <si>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</si>
  <si>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</si>
  <si>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</si>
  <si>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</si>
  <si>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</si>
  <si>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</si>
  <si>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</si>
  <si>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</si>
  <si>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</si>
  <si>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</si>
  <si>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</si>
  <si>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</si>
  <si>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</si>
  <si>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</si>
  <si>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</si>
  <si>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</si>
  <si>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</si>
  <si>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</si>
  <si>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</si>
  <si>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</si>
  <si>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</si>
  <si>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</si>
  <si>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</si>
  <si>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</si>
  <si>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</si>
  <si>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</si>
  <si>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</si>
  <si>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</si>
  <si>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</si>
  <si>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</si>
  <si>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</si>
  <si>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</si>
  <si>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</si>
  <si>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</si>
  <si>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</si>
  <si>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</si>
  <si>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</si>
  <si>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</si>
  <si>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</si>
  <si>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</si>
  <si>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</si>
  <si>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</si>
  <si>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</si>
  <si>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</si>
  <si>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</si>
  <si>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</si>
  <si>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</si>
  <si>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</si>
  <si>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</si>
  <si>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</si>
  <si>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</si>
  <si>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</si>
  <si>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</si>
  <si>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</si>
  <si>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</si>
  <si>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</si>
  <si>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</si>
  <si>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</si>
  <si>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</si>
  <si>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</si>
  <si>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</si>
  <si>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</si>
  <si>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</si>
  <si>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</si>
  <si>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</si>
  <si>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</si>
  <si>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</si>
  <si>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</si>
  <si>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</si>
  <si>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</si>
  <si>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</si>
  <si>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</si>
  <si>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</si>
  <si>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</si>
  <si>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</si>
  <si>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</si>
  <si>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</si>
  <si>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</si>
  <si>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</si>
  <si>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</si>
  <si>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</si>
  <si>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</si>
  <si>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</si>
  <si>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</si>
  <si>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</si>
  <si>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</si>
  <si>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</si>
  <si>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</si>
  <si>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</si>
  <si>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</si>
  <si>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</si>
  <si>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</si>
  <si>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</si>
  <si>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</si>
  <si>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</si>
  <si>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</si>
  <si>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</si>
  <si>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</si>
  <si>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</si>
  <si>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</si>
  <si>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</si>
  <si>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</si>
  <si>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</si>
  <si>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</si>
  <si>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</si>
  <si>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</si>
  <si>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</si>
  <si>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</si>
  <si>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</si>
  <si>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</si>
  <si>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</si>
  <si>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</si>
  <si>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</si>
  <si>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</si>
  <si>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</si>
  <si>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</si>
  <si>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</si>
  <si>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</si>
  <si>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</si>
  <si>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</si>
  <si>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</si>
  <si>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</si>
  <si>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</si>
  <si>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</si>
  <si>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</si>
  <si>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</si>
  <si>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</si>
  <si>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</si>
  <si>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</si>
  <si>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</si>
  <si>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</si>
  <si>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</si>
  <si>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</si>
  <si>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</si>
  <si>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</si>
  <si>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</si>
  <si>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</si>
  <si>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</si>
  <si>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</si>
  <si>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</si>
  <si>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</si>
  <si>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</si>
  <si>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</si>
  <si>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</si>
  <si>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</si>
  <si>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</si>
  <si>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</si>
  <si>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</si>
  <si>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</si>
  <si>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</si>
  <si>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</si>
  <si>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</si>
  <si>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</si>
  <si>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</si>
  <si>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</si>
  <si>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</si>
  <si>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</si>
  <si>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</si>
  <si>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</si>
  <si>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</si>
  <si>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</si>
  <si>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</si>
  <si>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</si>
  <si>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</si>
  <si>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</si>
  <si>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</si>
  <si>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</si>
  <si>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</si>
  <si>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</si>
  <si>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</si>
  <si>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</si>
  <si>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</si>
  <si>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</si>
  <si>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</si>
  <si>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</si>
  <si>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</si>
  <si>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</si>
  <si>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</si>
  <si>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</si>
  <si>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</si>
  <si>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</si>
  <si>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</si>
  <si>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</si>
  <si>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</si>
  <si>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</si>
  <si>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</si>
  <si>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</si>
  <si>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</si>
  <si>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</si>
  <si>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</si>
  <si>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</si>
  <si>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</si>
  <si>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</si>
  <si>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</si>
  <si>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</si>
  <si>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</si>
  <si>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</si>
  <si>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</si>
  <si>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</si>
  <si>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</si>
  <si>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</si>
  <si>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</si>
  <si>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</si>
  <si>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</si>
  <si>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</si>
  <si>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</si>
  <si>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</si>
  <si>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</si>
  <si>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</si>
  <si>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</si>
  <si>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</si>
  <si>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</si>
  <si>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</si>
  <si>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</si>
  <si>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</si>
  <si>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</si>
  <si>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</si>
  <si>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</si>
  <si>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</si>
  <si>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</si>
  <si>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</si>
  <si>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</si>
  <si>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</si>
  <si>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</si>
  <si>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</si>
  <si>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</si>
  <si>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</si>
  <si>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</si>
  <si>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</si>
  <si>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</si>
  <si>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</si>
  <si>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</si>
  <si>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</si>
  <si>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</si>
  <si>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</si>
  <si>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</si>
  <si>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</si>
  <si>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</si>
  <si>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</si>
  <si>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</si>
  <si>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</si>
  <si>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</si>
  <si>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</si>
  <si>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</si>
  <si>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</si>
  <si>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</si>
  <si>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</si>
  <si>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</si>
  <si>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</si>
  <si>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</si>
  <si>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</si>
  <si>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</si>
  <si>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</si>
  <si>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</si>
  <si>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</si>
  <si>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</si>
  <si>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</si>
  <si>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</si>
  <si>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</si>
  <si>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</si>
  <si>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</si>
  <si>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</si>
  <si>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</si>
  <si>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</si>
  <si>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</si>
  <si>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</si>
  <si>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</si>
  <si>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</si>
  <si>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</si>
  <si>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</si>
  <si>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</si>
  <si>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</si>
  <si>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</si>
  <si>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</si>
  <si>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</si>
  <si>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</si>
  <si>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</si>
  <si>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</si>
  <si>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</si>
  <si>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</si>
  <si>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</si>
  <si>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</si>
  <si>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</si>
  <si>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</si>
  <si>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</si>
  <si>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</si>
  <si>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</si>
  <si>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</si>
  <si>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</si>
  <si>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</si>
  <si>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</si>
  <si>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</si>
  <si>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</si>
  <si>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</si>
  <si>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</si>
  <si>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</si>
  <si>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</si>
  <si>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</si>
  <si>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</si>
  <si>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</si>
  <si>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</si>
  <si>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</si>
  <si>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</si>
  <si>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</si>
  <si>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</si>
  <si>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</si>
  <si>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</si>
  <si>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</si>
  <si>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</si>
  <si>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</si>
  <si>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</si>
  <si>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</si>
  <si>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</si>
  <si>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</si>
  <si>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</si>
  <si>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</si>
  <si>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</si>
  <si>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</si>
  <si>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</si>
  <si>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</si>
  <si>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</si>
  <si>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</si>
  <si>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</si>
  <si>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</si>
  <si>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</si>
  <si>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</si>
  <si>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</si>
  <si>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</si>
  <si>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</si>
  <si>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</si>
  <si>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</si>
  <si>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</si>
  <si>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</si>
  <si>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</si>
  <si>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</si>
  <si>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</si>
  <si>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</si>
  <si>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</si>
  <si>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</si>
  <si>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</si>
  <si>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</si>
  <si>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</si>
  <si>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</si>
  <si>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</si>
  <si>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</si>
  <si>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</si>
  <si>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</si>
  <si>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</si>
  <si>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</si>
  <si>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</si>
  <si>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</si>
  <si>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</si>
  <si>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</si>
  <si>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</si>
  <si>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</si>
  <si>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</si>
  <si>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</si>
  <si>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</si>
  <si>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</si>
  <si>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</si>
  <si>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</si>
  <si>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</si>
  <si>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</si>
  <si>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</si>
  <si>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</si>
  <si>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</si>
  <si>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</si>
  <si>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</si>
  <si>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</si>
  <si>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</si>
  <si>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</si>
  <si>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</si>
  <si>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</si>
  <si>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</si>
  <si>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</si>
  <si>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</si>
  <si>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</si>
  <si>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</si>
  <si>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</si>
  <si>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</si>
  <si>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</si>
  <si>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</si>
  <si>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</si>
  <si>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</si>
  <si>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</si>
  <si>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</si>
  <si>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</si>
  <si>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</si>
  <si>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</si>
  <si>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</si>
  <si>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</si>
  <si>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</si>
  <si>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</si>
  <si>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</si>
  <si>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</si>
  <si>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</si>
  <si>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</si>
  <si>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</si>
  <si>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</si>
  <si>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</si>
  <si>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</si>
  <si>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</si>
  <si>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</si>
  <si>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</si>
  <si>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</si>
  <si>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</si>
  <si>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</si>
  <si>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</si>
  <si>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</si>
  <si>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</si>
  <si>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</si>
  <si>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</si>
  <si>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</si>
  <si>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</si>
  <si>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</si>
  <si>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</si>
  <si>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</si>
  <si>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</si>
  <si>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</si>
  <si>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</si>
  <si>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</si>
  <si>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</si>
  <si>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</si>
  <si>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</si>
  <si>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</si>
  <si>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</si>
  <si>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</si>
  <si>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</si>
  <si>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</si>
  <si>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</si>
  <si>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</si>
  <si>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</si>
  <si>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</si>
  <si>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</si>
  <si>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</si>
  <si>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</si>
  <si>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</si>
  <si>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</si>
  <si>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</si>
  <si>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</si>
  <si>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</si>
  <si>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</si>
  <si>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</si>
  <si>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</si>
  <si>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</si>
  <si>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</si>
  <si>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</si>
  <si>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</si>
  <si>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</si>
  <si>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</si>
  <si>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</si>
  <si>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</si>
  <si>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</si>
  <si>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</si>
  <si>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</si>
  <si>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</si>
  <si>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</si>
  <si>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</si>
  <si>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</si>
  <si>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</si>
  <si>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</si>
  <si>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</si>
  <si>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</si>
  <si>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</si>
  <si>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</si>
  <si>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</si>
  <si>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</si>
  <si>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</si>
  <si>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</si>
  <si>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</si>
  <si>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</si>
  <si>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</si>
  <si>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</si>
  <si>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</si>
  <si>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</si>
  <si>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</si>
  <si>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</si>
  <si>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</si>
  <si>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</si>
  <si>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</si>
  <si>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</si>
  <si>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</si>
  <si>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</si>
  <si>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</si>
  <si>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</si>
  <si>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</si>
  <si>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</si>
  <si>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</si>
  <si>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</si>
  <si>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</si>
  <si>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</si>
  <si>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</si>
  <si>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</si>
  <si>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</si>
  <si>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</si>
  <si>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</si>
  <si>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</si>
  <si>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</si>
  <si>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</si>
  <si>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</si>
  <si>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</si>
  <si>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</si>
  <si>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</si>
  <si>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</si>
  <si>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</si>
  <si>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</si>
  <si>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</si>
  <si>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</si>
  <si>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</si>
  <si>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</si>
  <si>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</si>
  <si>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</si>
  <si>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</si>
  <si>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</si>
  <si>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</si>
  <si>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</si>
  <si>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</si>
  <si>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</si>
  <si>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</si>
  <si>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</si>
  <si>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</si>
  <si>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</si>
  <si>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</si>
  <si>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</si>
  <si>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</si>
  <si>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</si>
  <si>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</si>
  <si>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</si>
  <si>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</si>
  <si>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</si>
  <si>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</si>
  <si>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</si>
  <si>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</si>
  <si>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</si>
  <si>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</si>
  <si>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</si>
  <si>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</si>
  <si>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</si>
  <si>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</si>
  <si>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</si>
  <si>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</si>
  <si>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</si>
  <si>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</si>
  <si>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</si>
  <si>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</si>
  <si>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</si>
  <si>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</si>
  <si>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</si>
  <si>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</si>
  <si>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</si>
  <si>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</si>
  <si>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</si>
  <si>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</si>
  <si>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</si>
  <si>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</si>
  <si>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</si>
  <si>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</si>
  <si>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</si>
  <si>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</si>
  <si>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</si>
  <si>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</si>
  <si>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</si>
  <si>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</si>
  <si>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</si>
  <si>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</si>
  <si>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</si>
  <si>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</si>
  <si>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</si>
  <si>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</si>
  <si>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</si>
  <si>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</si>
  <si>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</si>
  <si>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</si>
  <si>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</si>
  <si>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</si>
  <si>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</si>
  <si>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</si>
  <si>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</si>
  <si>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</si>
  <si>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</si>
  <si>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</si>
  <si>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</si>
  <si>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</si>
  <si>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</si>
  <si>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</si>
  <si>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</si>
  <si>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</si>
  <si>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</si>
  <si>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</si>
  <si>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</si>
  <si>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</si>
  <si>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</si>
  <si>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</si>
  <si>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</si>
  <si>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</si>
  <si>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</si>
  <si>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</si>
  <si>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</si>
  <si>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</si>
  <si>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</si>
  <si>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</si>
  <si>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</si>
  <si>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</si>
  <si>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</si>
  <si>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</si>
  <si>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</si>
  <si>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</si>
  <si>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</si>
  <si>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</si>
  <si>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</si>
  <si>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</si>
  <si>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</si>
  <si>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</si>
  <si>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</si>
  <si>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</si>
  <si>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</si>
  <si>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</si>
  <si>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</si>
  <si>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</si>
  <si>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</si>
  <si>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</si>
  <si>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</si>
  <si>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</si>
  <si>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</si>
  <si>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</si>
  <si>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</si>
  <si>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</si>
  <si>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</si>
  <si>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</si>
  <si>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</si>
  <si>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</si>
  <si>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</si>
  <si>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</si>
  <si>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</si>
  <si>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</si>
  <si>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</si>
  <si>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</si>
  <si>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</si>
  <si>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</si>
  <si>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</si>
  <si>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</si>
  <si>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</si>
  <si>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</si>
  <si>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</si>
  <si>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</si>
  <si>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</si>
  <si>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</si>
  <si>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</si>
  <si>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</si>
  <si>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</si>
  <si>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</si>
  <si>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</si>
  <si>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</si>
  <si>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</si>
  <si>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</si>
  <si>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</si>
  <si>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</si>
  <si>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</si>
  <si>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</si>
  <si>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</si>
  <si>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</si>
  <si>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</si>
  <si>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</si>
  <si>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</si>
  <si>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</si>
  <si>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</si>
  <si>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</si>
  <si>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</si>
  <si>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</si>
  <si>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</si>
  <si>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</si>
  <si>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</si>
  <si>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</si>
  <si>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</si>
  <si>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</si>
  <si>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</si>
  <si>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</si>
  <si>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</si>
  <si>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</si>
  <si>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</si>
  <si>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</si>
  <si>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</si>
  <si>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</si>
  <si>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</si>
  <si>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</si>
  <si>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</si>
  <si>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</si>
  <si>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</si>
  <si>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</si>
  <si>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</si>
  <si>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</si>
  <si>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</si>
  <si>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</si>
  <si>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</si>
  <si>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</si>
  <si>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</si>
  <si>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</si>
  <si>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</si>
  <si>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</si>
  <si>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</si>
  <si>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</si>
  <si>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</si>
  <si>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</si>
  <si>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</si>
  <si>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</si>
  <si>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</si>
  <si>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</si>
  <si>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</si>
  <si>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</si>
  <si>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</si>
  <si>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</si>
  <si>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</si>
  <si>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</si>
  <si>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</si>
  <si>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</si>
  <si>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</si>
  <si>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</si>
  <si>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</si>
  <si>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</si>
  <si>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</si>
  <si>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</si>
  <si>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</si>
  <si>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</si>
  <si>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</si>
  <si>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</si>
  <si>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</si>
  <si>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</si>
  <si>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</si>
  <si>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</si>
  <si>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</si>
  <si>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</si>
  <si>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</si>
  <si>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</si>
  <si>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</si>
  <si>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</si>
  <si>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</si>
  <si>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</si>
  <si>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</si>
  <si>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</si>
  <si>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</si>
  <si>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</si>
  <si>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</si>
  <si>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</si>
  <si>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</si>
  <si>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</si>
  <si>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</si>
  <si>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</si>
  <si>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</si>
  <si>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</si>
  <si>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</si>
  <si>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</si>
  <si>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</si>
  <si>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</si>
  <si>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</si>
  <si>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</si>
  <si>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</si>
  <si>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</si>
  <si>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</si>
  <si>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</si>
  <si>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</si>
  <si>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</si>
  <si>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</si>
  <si>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</si>
  <si>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</si>
  <si>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</si>
  <si>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</si>
  <si>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</si>
  <si>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</si>
  <si>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</si>
  <si>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</si>
  <si>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</si>
  <si>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</si>
  <si>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</si>
  <si>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</si>
  <si>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</si>
  <si>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</si>
  <si>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</si>
  <si>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</si>
  <si>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</si>
  <si>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</si>
  <si>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</si>
  <si>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</si>
  <si>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</si>
  <si>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</si>
  <si>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</si>
  <si>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</si>
  <si>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</si>
  <si>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</si>
  <si>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</si>
  <si>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</si>
  <si>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</si>
  <si>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</si>
  <si>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</si>
  <si>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</si>
  <si>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</si>
  <si>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</si>
  <si>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</si>
  <si>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</si>
  <si>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</si>
  <si>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</si>
  <si>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</si>
  <si>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</si>
  <si>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</si>
  <si>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</si>
  <si>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</si>
  <si>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</si>
  <si>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</si>
  <si>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</si>
  <si>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</si>
  <si>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</si>
  <si>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</si>
  <si>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</si>
  <si>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</si>
  <si>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</si>
  <si>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</si>
  <si>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</si>
  <si>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</si>
  <si>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</si>
  <si>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</si>
  <si>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</si>
  <si>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</si>
  <si>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</si>
  <si>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</si>
  <si>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</si>
  <si>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</si>
  <si>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</si>
  <si>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</si>
  <si>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</si>
  <si>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</si>
  <si>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</si>
  <si>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</si>
  <si>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</si>
  <si>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</si>
  <si>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</si>
  <si>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</si>
  <si>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</si>
  <si>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</si>
  <si>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</si>
  <si>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</si>
  <si>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</si>
  <si>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</si>
  <si>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</si>
  <si>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</si>
  <si>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</si>
  <si>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</si>
  <si>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</si>
  <si>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</si>
  <si>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</si>
  <si>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</si>
  <si>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</si>
  <si>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</si>
  <si>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</si>
  <si>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</si>
  <si>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</si>
  <si>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</si>
  <si>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</si>
  <si>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</si>
  <si>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</si>
  <si>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</si>
  <si>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</si>
  <si>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</si>
  <si>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</si>
  <si>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</si>
  <si>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</si>
  <si>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</si>
  <si>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</si>
  <si>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</si>
  <si>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</si>
  <si>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</si>
  <si>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</si>
  <si>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</si>
  <si>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</si>
  <si>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</si>
  <si>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</si>
  <si>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</si>
  <si>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</si>
  <si>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</si>
  <si>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</si>
  <si>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</si>
  <si>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</si>
  <si>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</si>
  <si>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</si>
  <si>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</si>
  <si>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</si>
  <si>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</si>
  <si>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</si>
  <si>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</si>
  <si>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</si>
  <si>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</si>
  <si>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</si>
  <si>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</si>
  <si>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</si>
  <si>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</si>
  <si>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</si>
  <si>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</si>
  <si>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</si>
  <si>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</si>
  <si>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</si>
  <si>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</si>
  <si>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</si>
  <si>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</si>
  <si>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</si>
  <si>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</si>
  <si>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</si>
  <si>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</si>
  <si>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</si>
  <si>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</si>
  <si>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</si>
  <si>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</si>
  <si>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</si>
  <si>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</si>
  <si>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</si>
  <si>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</si>
  <si>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</si>
  <si>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</si>
  <si>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</si>
  <si>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</si>
  <si>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</si>
  <si>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</si>
  <si>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</si>
  <si>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</si>
  <si>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</si>
  <si>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</si>
  <si>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</si>
  <si>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</si>
  <si>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</si>
  <si>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</si>
  <si>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</si>
  <si>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</si>
  <si>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</si>
  <si>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</si>
  <si>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</si>
  <si>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</si>
  <si>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</si>
  <si>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</si>
  <si>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</si>
  <si>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</si>
  <si>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</si>
  <si>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</si>
  <si>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</si>
  <si>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</si>
  <si>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</si>
  <si>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</si>
  <si>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</si>
  <si>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</si>
  <si>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</si>
  <si>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</si>
  <si>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</si>
  <si>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</si>
  <si>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</si>
  <si>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</si>
  <si>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</si>
  <si>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</si>
  <si>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</si>
  <si>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</si>
  <si>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</si>
  <si>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</si>
  <si>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</si>
  <si>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</si>
  <si>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</si>
  <si>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</si>
  <si>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</si>
  <si>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</si>
  <si>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</si>
  <si>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</si>
  <si>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</si>
  <si>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</si>
  <si>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</si>
  <si>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</si>
  <si>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</si>
  <si>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</si>
  <si>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</si>
  <si>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</si>
  <si>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</si>
  <si>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</si>
  <si>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</si>
  <si>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</si>
  <si>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</si>
  <si>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</si>
  <si>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</si>
  <si>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</si>
  <si>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</si>
  <si>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</si>
  <si>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</si>
  <si>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</si>
  <si>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</si>
  <si>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</si>
  <si>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</si>
  <si>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</si>
  <si>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</si>
  <si>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</si>
  <si>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</si>
  <si>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</si>
  <si>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</si>
  <si>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</si>
  <si>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</si>
  <si>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</si>
  <si>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</si>
  <si>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</si>
  <si>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</si>
  <si>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</si>
  <si>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</si>
  <si>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</si>
  <si>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</si>
  <si>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</si>
  <si>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</si>
  <si>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</si>
  <si>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</si>
  <si>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</si>
  <si>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</si>
  <si>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</si>
  <si>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</si>
  <si>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</si>
  <si>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</si>
  <si>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</si>
  <si>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</si>
  <si>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</si>
  <si>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</si>
  <si>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</si>
  <si>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</si>
  <si>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</si>
  <si>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</si>
  <si>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</si>
  <si>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</si>
  <si>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</si>
  <si>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</si>
  <si>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</si>
  <si>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</si>
  <si>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</si>
  <si>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</si>
  <si>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</si>
  <si>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</si>
  <si>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</si>
  <si>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</si>
  <si>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</si>
  <si>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</si>
  <si>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</si>
  <si>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</si>
  <si>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</si>
  <si>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</si>
  <si>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</si>
  <si>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</si>
  <si>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</si>
  <si>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</si>
  <si>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</si>
  <si>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</si>
  <si>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</si>
  <si>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</si>
  <si>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</si>
  <si>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</si>
  <si>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</si>
  <si>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</si>
  <si>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</si>
  <si>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</si>
  <si>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</si>
  <si>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</si>
  <si>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</si>
  <si>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</si>
  <si>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</si>
  <si>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</si>
  <si>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</si>
  <si>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</si>
  <si>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</si>
  <si>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</si>
  <si>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</si>
  <si>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</si>
  <si>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</si>
  <si>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</si>
  <si>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</si>
  <si>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</si>
  <si>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</si>
  <si>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</si>
  <si>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</si>
  <si>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</si>
  <si>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</si>
  <si>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</si>
  <si>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</si>
  <si>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</si>
  <si>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</si>
  <si>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</si>
  <si>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</si>
  <si>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</si>
  <si>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</si>
  <si>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</si>
  <si>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</si>
  <si>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</si>
  <si>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</si>
  <si>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</si>
  <si>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</si>
  <si>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</si>
  <si>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</si>
  <si>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</si>
  <si>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</si>
  <si>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</si>
  <si>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</si>
  <si>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</si>
  <si>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</si>
  <si>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</si>
  <si>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</si>
  <si>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</si>
  <si>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</si>
  <si>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</si>
  <si>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</si>
  <si>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</si>
  <si>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</si>
  <si>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</si>
  <si>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</si>
  <si>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</si>
  <si>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</si>
  <si>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</si>
  <si>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</si>
  <si>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</si>
  <si>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</si>
  <si>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</si>
  <si>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</si>
  <si>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</si>
  <si>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</si>
  <si>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</si>
  <si>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</si>
  <si>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</si>
  <si>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</si>
  <si>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</si>
  <si>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</si>
  <si>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</si>
  <si>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</si>
  <si>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</si>
  <si>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</si>
  <si>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</si>
  <si>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</si>
  <si>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</si>
  <si>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</si>
  <si>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</si>
  <si>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</si>
  <si>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</si>
  <si>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</si>
  <si>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</si>
  <si>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</si>
  <si>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</si>
  <si>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</si>
  <si>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</si>
  <si>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</si>
  <si>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</si>
  <si>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</si>
  <si>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</si>
  <si>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</si>
  <si>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</si>
  <si>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</si>
  <si>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</si>
  <si>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</si>
  <si>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</si>
  <si>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</si>
  <si>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</si>
  <si>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</si>
  <si>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</si>
  <si>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</si>
  <si>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</si>
  <si>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</si>
  <si>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</si>
  <si>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</si>
  <si>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</si>
  <si>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</si>
  <si>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</si>
  <si>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</si>
  <si>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</si>
  <si>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</si>
  <si>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</si>
  <si>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</si>
  <si>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</si>
  <si>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</si>
  <si>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</si>
  <si>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</si>
  <si>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</si>
  <si>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</si>
  <si>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</si>
  <si>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</si>
  <si>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</si>
  <si>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</si>
  <si>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</si>
  <si>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</si>
  <si>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</si>
  <si>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</si>
  <si>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</si>
  <si>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</si>
  <si>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</si>
  <si>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</si>
  <si>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</si>
  <si>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</si>
  <si>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</si>
  <si>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</si>
  <si>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</si>
  <si>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</si>
  <si>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</si>
  <si>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</si>
  <si>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</si>
  <si>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</si>
  <si>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</si>
  <si>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</si>
  <si>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</si>
  <si>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</si>
  <si>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</si>
  <si>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</si>
  <si>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</si>
  <si>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</si>
  <si>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</si>
  <si>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</si>
  <si>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</si>
  <si>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</si>
  <si>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</si>
  <si>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</si>
  <si>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</si>
  <si>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</si>
  <si>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</si>
  <si>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</si>
  <si>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</si>
  <si>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</si>
  <si>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</si>
  <si>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</si>
  <si>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</si>
  <si>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</si>
  <si>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</si>
  <si>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</si>
  <si>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</si>
  <si>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</si>
  <si>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</si>
  <si>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</si>
  <si>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</si>
  <si>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</si>
  <si>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</si>
  <si>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</si>
  <si>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</si>
  <si>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</si>
  <si>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</si>
  <si>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</si>
  <si>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</si>
  <si>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</si>
  <si>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</si>
  <si>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</si>
  <si>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</si>
  <si>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</si>
  <si>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</si>
  <si>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</si>
  <si>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</si>
  <si>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</si>
  <si>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</si>
  <si>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</si>
  <si>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</si>
  <si>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</si>
  <si>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</si>
  <si>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</si>
  <si>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</si>
  <si>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</si>
  <si>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</si>
  <si>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</si>
  <si>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</si>
  <si>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</si>
  <si>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</si>
  <si>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</si>
  <si>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</si>
  <si>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</si>
  <si>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</si>
  <si>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</si>
  <si>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</si>
  <si>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</si>
  <si>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</si>
  <si>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</si>
  <si>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</si>
  <si>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</si>
  <si>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</si>
  <si>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</si>
  <si>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</si>
  <si>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</si>
  <si>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</si>
  <si>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</si>
  <si>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</si>
  <si>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</si>
  <si>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</si>
  <si>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</si>
  <si>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</si>
  <si>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</si>
  <si>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</si>
  <si>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</si>
  <si>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</si>
  <si>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</si>
  <si>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</si>
  <si>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</si>
  <si>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</si>
  <si>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</si>
  <si>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</si>
  <si>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</si>
  <si>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</si>
  <si>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</si>
  <si>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</si>
  <si>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</si>
  <si>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</si>
  <si>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</si>
  <si>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</si>
  <si>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</si>
  <si>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</si>
  <si>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</si>
  <si>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</si>
  <si>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</si>
  <si>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</si>
  <si>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</si>
  <si>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</si>
  <si>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</si>
  <si>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</si>
  <si>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</si>
  <si>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</si>
  <si>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</si>
  <si>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</si>
  <si>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</si>
  <si>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</si>
  <si>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</si>
  <si>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</si>
  <si>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</si>
  <si>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</si>
  <si>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</si>
  <si>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</si>
  <si>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</si>
  <si>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</si>
  <si>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</si>
  <si>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</si>
  <si>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</si>
  <si>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</si>
  <si>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</si>
  <si>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</si>
  <si>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</si>
  <si>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</si>
  <si>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</si>
  <si>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</si>
  <si>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</si>
  <si>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</si>
  <si>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</si>
  <si>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</si>
  <si>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</si>
  <si>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</si>
  <si>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</si>
  <si>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</si>
  <si>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</si>
  <si>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</si>
  <si>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</si>
  <si>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</si>
  <si>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</si>
  <si>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</si>
  <si>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</si>
  <si>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</si>
  <si>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</si>
  <si>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</si>
  <si>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</si>
  <si>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</si>
  <si>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</si>
  <si>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</si>
  <si>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</si>
  <si>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</si>
  <si>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</si>
  <si>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</si>
  <si>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</si>
  <si>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</si>
  <si>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</si>
  <si>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</si>
  <si>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</si>
  <si>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</si>
  <si>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</si>
  <si>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</si>
  <si>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</si>
  <si>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</si>
  <si>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</si>
  <si>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</si>
  <si>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</si>
  <si>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</si>
  <si>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</si>
  <si>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</si>
  <si>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</si>
  <si>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</si>
  <si>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</si>
  <si>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</si>
  <si>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</si>
  <si>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</si>
  <si>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</si>
  <si>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</si>
  <si>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</si>
  <si>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</si>
  <si>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</si>
  <si>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</si>
  <si>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</si>
  <si>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</si>
  <si>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</si>
  <si>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</si>
  <si>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</si>
  <si>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</si>
  <si>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</si>
  <si>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</si>
  <si>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</si>
  <si>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</si>
  <si>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</si>
  <si>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</si>
  <si>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</si>
  <si>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</si>
  <si>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</si>
  <si>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</si>
  <si>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</si>
  <si>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</si>
  <si>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</si>
  <si>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</si>
  <si>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</si>
  <si>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</si>
  <si>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</si>
  <si>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</si>
  <si>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</si>
  <si>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</si>
  <si>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</si>
  <si>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</si>
  <si>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</si>
  <si>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</si>
  <si>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</si>
  <si>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</si>
  <si>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</si>
  <si>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</si>
  <si>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</si>
  <si>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</si>
  <si>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</si>
  <si>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</si>
  <si>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</si>
  <si>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</si>
  <si>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</si>
  <si>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</si>
  <si>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</si>
  <si>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</si>
  <si>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</si>
  <si>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</si>
  <si>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</si>
  <si>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</si>
  <si>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</si>
  <si>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</si>
  <si>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</si>
  <si>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</si>
  <si>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</si>
  <si>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</si>
  <si>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</si>
  <si>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</si>
  <si>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</si>
  <si>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</si>
  <si>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</si>
  <si>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</si>
  <si>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</si>
  <si>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</si>
  <si>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</si>
  <si>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</si>
  <si>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</si>
  <si>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</si>
  <si>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</si>
  <si>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</si>
  <si>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</si>
  <si>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</si>
  <si>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</si>
  <si>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</si>
  <si>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</si>
  <si>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</si>
  <si>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</si>
  <si>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</si>
  <si>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</si>
  <si>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</si>
  <si>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</si>
  <si>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</si>
  <si>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</si>
  <si>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</si>
  <si>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</si>
  <si>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</si>
  <si>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</si>
  <si>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</si>
  <si>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</si>
  <si>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</si>
  <si>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</si>
  <si>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</si>
  <si>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</si>
  <si>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</si>
  <si>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</si>
  <si>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</si>
  <si>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</si>
  <si>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</si>
  <si>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</si>
  <si>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</si>
  <si>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</si>
  <si>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</si>
  <si>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</si>
  <si>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</si>
  <si>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</si>
  <si>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</si>
  <si>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</si>
  <si>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</si>
  <si>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</si>
  <si>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</si>
  <si>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</si>
  <si>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</si>
  <si>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</si>
  <si>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</si>
  <si>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</si>
  <si>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</si>
  <si>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</si>
  <si>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</si>
  <si>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</si>
  <si>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</si>
  <si>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</si>
  <si>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</si>
  <si>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</si>
  <si>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</si>
  <si>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</si>
  <si>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</si>
  <si>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</si>
  <si>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</si>
  <si>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</si>
  <si>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</si>
  <si>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</si>
  <si>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</si>
  <si>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</si>
  <si>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</si>
  <si>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</si>
  <si>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</si>
  <si>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</si>
  <si>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</si>
  <si>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</si>
  <si>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</si>
  <si>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</si>
  <si>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</si>
  <si>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</si>
  <si>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</si>
  <si>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</si>
  <si>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</si>
  <si>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</si>
  <si>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</si>
  <si>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</si>
  <si>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</si>
  <si>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</si>
  <si>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</si>
  <si>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</si>
  <si>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</si>
  <si>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</si>
  <si>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</si>
  <si>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</si>
  <si>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</si>
  <si>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</si>
  <si>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</si>
  <si>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</si>
  <si>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</si>
  <si>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</si>
  <si>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</si>
  <si>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</si>
  <si>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</si>
  <si>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</si>
  <si>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</si>
  <si>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</si>
  <si>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</si>
  <si>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</si>
  <si>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</si>
  <si>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</si>
  <si>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</si>
  <si>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</si>
  <si>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</si>
  <si>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</si>
  <si>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</si>
  <si>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</si>
  <si>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</si>
  <si>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</si>
  <si>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</si>
  <si>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</si>
  <si>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</si>
  <si>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</si>
  <si>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</si>
  <si>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</si>
  <si>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</si>
  <si>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</si>
  <si>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</si>
  <si>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</si>
  <si>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</si>
  <si>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</si>
  <si>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</si>
  <si>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</si>
  <si>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</si>
  <si>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</si>
  <si>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</si>
  <si>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</si>
  <si>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</si>
  <si>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</si>
  <si>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</si>
  <si>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</si>
  <si>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</si>
  <si>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</si>
  <si>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</si>
  <si>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</si>
  <si>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</si>
  <si>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</si>
  <si>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</si>
  <si>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</si>
  <si>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</si>
  <si>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</si>
  <si>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</si>
  <si>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</si>
  <si>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</si>
  <si>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</si>
  <si>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</si>
  <si>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</si>
  <si>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</si>
  <si>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</si>
  <si>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</si>
  <si>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</si>
  <si>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</si>
  <si>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</si>
  <si>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</si>
  <si>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</si>
  <si>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</si>
  <si>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</si>
  <si>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</si>
  <si>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</si>
  <si>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</si>
  <si>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</si>
  <si>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</si>
  <si>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</si>
  <si>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</si>
  <si>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</si>
  <si>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</si>
  <si>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</si>
  <si>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</si>
  <si>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</si>
  <si>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</si>
  <si>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</si>
  <si>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</si>
  <si>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</si>
  <si>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</si>
  <si>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</si>
  <si>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</si>
  <si>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</si>
  <si>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</si>
  <si>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</si>
  <si>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</si>
  <si>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</si>
  <si>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</si>
  <si>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</si>
  <si>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</si>
  <si>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</si>
  <si>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</si>
  <si>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</si>
  <si>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</si>
  <si>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</si>
  <si>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</si>
  <si>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</si>
  <si>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</si>
  <si>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</si>
  <si>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</si>
  <si>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</si>
  <si>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</si>
  <si>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</si>
  <si>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</si>
  <si>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</si>
  <si>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</si>
  <si>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</si>
  <si>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</si>
  <si>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</si>
  <si>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</si>
  <si>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</si>
  <si>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</si>
  <si>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</si>
  <si>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</si>
  <si>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</si>
  <si>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</si>
  <si>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</si>
  <si>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</si>
  <si>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</si>
  <si>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</si>
  <si>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</si>
  <si>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</si>
  <si>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</si>
  <si>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</si>
  <si>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</si>
  <si>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</si>
  <si>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</si>
  <si>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</si>
  <si>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</si>
  <si>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</si>
  <si>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</si>
  <si>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</si>
  <si>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</si>
  <si>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</si>
  <si>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</si>
  <si>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</si>
  <si>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</si>
  <si>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</si>
  <si>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</si>
  <si>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</si>
  <si>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</si>
  <si>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</si>
  <si>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</si>
  <si>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</si>
  <si>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</si>
  <si>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</si>
  <si>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</si>
  <si>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</si>
  <si>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</si>
  <si>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</si>
  <si>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</si>
  <si>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</si>
  <si>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</si>
  <si>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</si>
  <si>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</si>
  <si>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</si>
  <si>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</si>
  <si>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</si>
  <si>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</si>
  <si>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</si>
  <si>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</si>
  <si>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</si>
  <si>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</si>
  <si>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</si>
  <si>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</si>
  <si>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</si>
  <si>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</si>
  <si>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</si>
  <si>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</si>
  <si>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</si>
  <si>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</si>
  <si>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</si>
  <si>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</si>
  <si>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</si>
  <si>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</si>
  <si>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</si>
  <si>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</si>
  <si>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</si>
  <si>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</si>
  <si>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</si>
  <si>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</si>
  <si>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</si>
  <si>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</si>
  <si>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</si>
  <si>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</si>
  <si>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</si>
  <si>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</si>
  <si>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</si>
  <si>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</si>
  <si>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</si>
  <si>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</si>
  <si>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</si>
  <si>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</si>
  <si>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</si>
  <si>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</si>
  <si>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</si>
  <si>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</si>
  <si>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</si>
  <si>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</si>
  <si>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</si>
  <si>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</si>
  <si>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</si>
  <si>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</si>
  <si>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</si>
  <si>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</si>
  <si>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</si>
  <si>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</si>
  <si>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</si>
  <si>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</si>
  <si>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</si>
  <si>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</si>
  <si>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</si>
  <si>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</si>
  <si>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</si>
  <si>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</si>
  <si>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</si>
  <si>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</si>
  <si>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</si>
  <si>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</si>
  <si>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</si>
  <si>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</si>
  <si>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</si>
  <si>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</si>
  <si>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</si>
  <si>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</si>
  <si>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</si>
  <si>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</si>
  <si>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</si>
  <si>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</si>
  <si>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</si>
  <si>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</si>
  <si>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</si>
  <si>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</si>
  <si>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</si>
  <si>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</si>
  <si>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</si>
  <si>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</si>
  <si>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</si>
  <si>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</si>
  <si>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</si>
  <si>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</si>
  <si>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</si>
  <si>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</si>
  <si>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</si>
  <si>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</si>
  <si>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</si>
  <si>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</si>
  <si>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</si>
  <si>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</si>
  <si>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</si>
  <si>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</si>
  <si>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</si>
  <si>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</si>
  <si>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</si>
  <si>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</si>
  <si>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</si>
  <si>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</si>
  <si>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</si>
  <si>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</si>
  <si>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</si>
  <si>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</si>
  <si>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</si>
  <si>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</si>
  <si>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</si>
  <si>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</si>
  <si>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</si>
  <si>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</si>
  <si>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</si>
  <si>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</si>
  <si>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</si>
  <si>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</si>
  <si>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</si>
  <si>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</si>
  <si>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</si>
  <si>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</si>
  <si>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</si>
  <si>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</si>
  <si>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</si>
  <si>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</si>
  <si>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</si>
  <si>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</si>
  <si>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</si>
  <si>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</si>
  <si>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</si>
  <si>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</si>
  <si>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</si>
  <si>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</si>
  <si>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</si>
  <si>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</si>
  <si>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</si>
  <si>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</si>
  <si>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</si>
  <si>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</si>
  <si>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</si>
  <si>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</si>
  <si>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</si>
  <si>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</si>
  <si>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</si>
  <si>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</si>
  <si>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</si>
  <si>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</si>
  <si>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</si>
  <si>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</si>
  <si>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</si>
  <si>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</si>
  <si>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</si>
  <si>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</si>
  <si>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</si>
  <si>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</si>
  <si>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</si>
  <si>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</si>
  <si>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</si>
  <si>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</si>
  <si>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</si>
  <si>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</si>
  <si>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</si>
  <si>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</si>
  <si>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</si>
  <si>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</si>
  <si>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</si>
  <si>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</si>
  <si>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</si>
  <si>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</si>
  <si>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</si>
  <si>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</si>
  <si>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</si>
  <si>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</si>
  <si>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</si>
  <si>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</si>
  <si>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</si>
  <si>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</si>
  <si>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</si>
  <si>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</si>
  <si>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</si>
  <si>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</si>
  <si>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</si>
  <si>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</si>
  <si>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</si>
  <si>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</si>
  <si>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</si>
  <si>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</si>
  <si>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</si>
  <si>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</si>
  <si>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</si>
  <si>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</si>
  <si>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</si>
  <si>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</si>
  <si>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</si>
  <si>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</si>
  <si>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</si>
  <si>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</si>
  <si>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</si>
  <si>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</si>
  <si>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</si>
  <si>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</si>
  <si>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</si>
  <si>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</si>
  <si>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</si>
  <si>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</si>
  <si>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</si>
  <si>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</si>
  <si>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</si>
  <si>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</si>
  <si>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</si>
  <si>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</si>
  <si>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</si>
  <si>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</si>
  <si>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</si>
  <si>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</si>
  <si>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</si>
  <si>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</si>
  <si>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</si>
  <si>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</si>
  <si>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</si>
  <si>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</si>
  <si>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</si>
  <si>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</si>
  <si>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</si>
  <si>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</si>
  <si>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</si>
  <si>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</si>
  <si>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</si>
  <si>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</si>
  <si>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</si>
  <si>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</si>
  <si>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</si>
  <si>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</si>
  <si>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</si>
  <si>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</si>
  <si>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</si>
  <si>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</si>
  <si>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</si>
  <si>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</si>
  <si>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</si>
  <si>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</si>
  <si>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</si>
  <si>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</si>
  <si>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</si>
  <si>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</si>
  <si>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</si>
  <si>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</si>
  <si>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</si>
  <si>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</si>
  <si>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</si>
  <si>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</si>
  <si>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</si>
  <si>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</si>
  <si>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</si>
  <si>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</si>
  <si>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</si>
  <si>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</si>
  <si>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</si>
  <si>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</si>
  <si>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</si>
  <si>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</si>
  <si>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</si>
  <si>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</si>
  <si>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</si>
  <si>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</si>
  <si>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</si>
  <si>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</si>
  <si>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</si>
  <si>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</si>
  <si>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</si>
  <si>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</si>
  <si>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</si>
  <si>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</si>
  <si>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</si>
  <si>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</si>
  <si>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</si>
  <si>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</si>
  <si>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</si>
  <si>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</si>
  <si>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</si>
  <si>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</si>
  <si>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</si>
  <si>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</si>
  <si>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</si>
  <si>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</si>
  <si>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</si>
  <si>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</si>
  <si>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</si>
  <si>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</si>
  <si>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</si>
  <si>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</si>
  <si>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</si>
  <si>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</si>
  <si>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</si>
  <si>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</si>
  <si>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</si>
  <si>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</si>
  <si>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</si>
  <si>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</si>
  <si>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</si>
  <si>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</si>
  <si>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</si>
  <si>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</si>
  <si>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</si>
  <si>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</si>
  <si>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</si>
  <si>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</si>
  <si>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</si>
  <si>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</si>
  <si>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</si>
  <si>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</si>
  <si>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</si>
  <si>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</si>
  <si>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</si>
  <si>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</si>
  <si>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</si>
  <si>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</si>
  <si>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</si>
  <si>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</si>
  <si>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</si>
  <si>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</si>
  <si>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</si>
  <si>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</si>
  <si>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</si>
  <si>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</si>
  <si>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</si>
  <si>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</si>
  <si>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</si>
  <si>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</si>
  <si>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</si>
  <si>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</si>
  <si>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</si>
  <si>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</si>
  <si>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</si>
  <si>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</si>
  <si>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</si>
  <si>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</si>
  <si>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</si>
  <si>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</si>
  <si>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</si>
  <si>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</si>
  <si>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</si>
  <si>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</si>
  <si>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</si>
  <si>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</si>
  <si>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</si>
  <si>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</si>
  <si>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</si>
  <si>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</si>
  <si>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</si>
  <si>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</si>
  <si>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</si>
  <si>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</si>
  <si>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</si>
  <si>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</si>
  <si>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</si>
  <si>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</si>
  <si>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</si>
  <si>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</si>
  <si>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</si>
  <si>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</si>
  <si>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</si>
  <si>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</si>
  <si>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</si>
  <si>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</si>
  <si>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</si>
  <si>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</si>
  <si>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</si>
  <si>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</si>
  <si>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</si>
  <si>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</si>
  <si>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</si>
  <si>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</si>
  <si>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</si>
  <si>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</si>
  <si>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</si>
  <si>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</si>
  <si>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</si>
  <si>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</si>
  <si>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</si>
  <si>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</si>
  <si>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</si>
  <si>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</si>
  <si>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</si>
  <si>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</si>
  <si>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</si>
  <si>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</si>
  <si>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</si>
  <si>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</si>
  <si>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</si>
  <si>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</si>
  <si>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</si>
  <si>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</si>
  <si>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</si>
  <si>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</si>
  <si>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</si>
  <si>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</si>
  <si>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</si>
  <si>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</si>
  <si>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</si>
  <si>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</si>
  <si>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</si>
  <si>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</si>
  <si>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</si>
  <si>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</si>
  <si>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</si>
  <si>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</si>
  <si>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</si>
  <si>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</si>
  <si>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</si>
  <si>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</si>
  <si>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</si>
  <si>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</si>
  <si>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</si>
  <si>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</si>
  <si>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</si>
  <si>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</si>
  <si>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</si>
  <si>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</si>
  <si>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</si>
  <si>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</si>
  <si>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</si>
  <si>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</si>
  <si>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</si>
  <si>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</si>
  <si>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</si>
  <si>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</si>
  <si>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</si>
  <si>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</si>
  <si>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</si>
  <si>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</si>
  <si>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</si>
  <si>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</si>
  <si>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</si>
  <si>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</si>
  <si>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</si>
  <si>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</si>
  <si>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</si>
  <si>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</si>
  <si>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</si>
  <si>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</si>
  <si>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</si>
  <si>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</si>
  <si>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</si>
  <si>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</si>
  <si>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</si>
  <si>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</si>
  <si>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</si>
  <si>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</si>
  <si>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</si>
  <si>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</si>
  <si>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</si>
  <si>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</si>
  <si>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</si>
  <si>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</si>
  <si>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</si>
  <si>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</si>
  <si>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</si>
  <si>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</si>
  <si>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</si>
  <si>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</si>
  <si>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</si>
  <si>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</si>
  <si>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</si>
  <si>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</si>
  <si>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</si>
  <si>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</si>
  <si>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</si>
  <si>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</si>
  <si>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</si>
  <si>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</si>
  <si>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</si>
  <si>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</si>
  <si>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</si>
  <si>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</si>
  <si>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</si>
  <si>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</si>
  <si>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</si>
  <si>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</si>
  <si>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</si>
  <si>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</si>
  <si>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</si>
  <si>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</si>
  <si>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</si>
  <si>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</si>
  <si>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</si>
  <si>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</si>
  <si>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</si>
  <si>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</si>
  <si>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</si>
  <si>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</si>
  <si>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</si>
  <si>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</si>
  <si>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</si>
  <si>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</si>
  <si>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</si>
  <si>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</si>
  <si>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</si>
  <si>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</si>
  <si>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</si>
  <si>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</si>
  <si>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</si>
  <si>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</si>
  <si>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</si>
  <si>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</si>
  <si>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</si>
  <si>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</si>
  <si>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</si>
  <si>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</si>
  <si>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</si>
  <si>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</si>
  <si>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</si>
  <si>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</si>
  <si>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</si>
  <si>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</si>
  <si>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</si>
  <si>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</si>
  <si>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</si>
  <si>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</si>
  <si>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</si>
  <si>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</si>
  <si>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</si>
  <si>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</si>
  <si>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</si>
  <si>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</si>
  <si>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</si>
  <si>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</si>
  <si>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</si>
  <si>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</si>
  <si>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</si>
  <si>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</si>
  <si>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</si>
  <si>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</si>
  <si>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</si>
  <si>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</si>
  <si>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</si>
  <si>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</si>
  <si>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</si>
  <si>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</si>
  <si>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</si>
  <si>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</si>
  <si>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</si>
  <si>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</si>
  <si>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</si>
  <si>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</si>
  <si>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</si>
  <si>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</si>
  <si>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</si>
  <si>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</si>
  <si>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</si>
  <si>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</si>
  <si>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</si>
  <si>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</si>
  <si>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</si>
  <si>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</si>
  <si>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</si>
  <si>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</si>
  <si>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</si>
  <si>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</si>
  <si>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</si>
  <si>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</si>
  <si>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</si>
  <si>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</si>
  <si>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</si>
  <si>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</si>
  <si>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</si>
  <si>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</si>
  <si>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</si>
  <si>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</si>
  <si>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</si>
  <si>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</si>
  <si>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</si>
  <si>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</si>
  <si>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</si>
  <si>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</si>
  <si>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</si>
  <si>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</si>
  <si>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</si>
  <si>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</si>
  <si>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</si>
  <si>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</si>
  <si>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</si>
  <si>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</si>
  <si>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</si>
  <si>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</si>
  <si>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</si>
  <si>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</si>
  <si>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</si>
  <si>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</si>
  <si>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</si>
  <si>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</si>
  <si>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</si>
  <si>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</si>
  <si>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</si>
  <si>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</si>
  <si>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</si>
  <si>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</si>
  <si>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</si>
  <si>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</si>
  <si>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</si>
  <si>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</si>
  <si>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</si>
  <si>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</si>
  <si>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</si>
  <si>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</si>
  <si>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</si>
  <si>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</si>
  <si>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</si>
  <si>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</si>
  <si>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</si>
  <si>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</si>
  <si>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</si>
  <si>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</si>
  <si>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</si>
  <si>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</si>
  <si>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</si>
  <si>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</si>
  <si>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</si>
  <si>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</si>
  <si>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</si>
  <si>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</si>
  <si>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</si>
  <si>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</si>
  <si>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</si>
  <si>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</si>
  <si>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</si>
  <si>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</si>
  <si>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</si>
  <si>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</si>
  <si>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</si>
  <si>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</si>
  <si>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</si>
  <si>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</si>
  <si>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</si>
  <si>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</si>
  <si>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</si>
  <si>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</si>
  <si>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</si>
  <si>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</si>
  <si>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</si>
  <si>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</si>
  <si>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</si>
  <si>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</si>
  <si>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</si>
  <si>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</si>
  <si>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</si>
  <si>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</si>
  <si>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</si>
  <si>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</si>
  <si>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</si>
  <si>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</si>
  <si>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</si>
  <si>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</si>
  <si>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</si>
  <si>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</si>
  <si>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</si>
  <si>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</si>
  <si>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</si>
  <si>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</si>
  <si>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</si>
  <si>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</si>
  <si>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</si>
  <si>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</si>
  <si>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</si>
  <si>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</si>
  <si>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</si>
  <si>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</si>
  <si>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</si>
  <si>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</si>
  <si>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</si>
  <si>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</si>
  <si>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</si>
  <si>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</si>
  <si>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</si>
  <si>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</si>
  <si>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</si>
  <si>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</si>
  <si>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</si>
  <si>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</si>
  <si>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</si>
  <si>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</si>
  <si>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</si>
  <si>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</si>
  <si>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</si>
  <si>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</si>
  <si>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</si>
  <si>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</si>
  <si>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</si>
  <si>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</si>
  <si>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</si>
  <si>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</si>
  <si>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</si>
  <si>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</si>
  <si>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</si>
  <si>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</si>
  <si>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</si>
  <si>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</si>
  <si>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</si>
  <si>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</si>
  <si>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</si>
  <si>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</si>
  <si>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</si>
  <si>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</si>
  <si>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</si>
  <si>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</si>
  <si>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</si>
  <si>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</si>
  <si>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</si>
  <si>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</si>
  <si>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</si>
  <si>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</si>
  <si>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</si>
  <si>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</si>
  <si>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</si>
  <si>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</si>
  <si>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</si>
  <si>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</si>
  <si>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</si>
  <si>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</si>
  <si>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</si>
  <si>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</si>
  <si>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</si>
  <si>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</si>
  <si>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</si>
  <si>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</si>
  <si>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</si>
  <si>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</si>
  <si>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</si>
  <si>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</si>
  <si>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</si>
  <si>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</si>
  <si>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</si>
  <si>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</si>
  <si>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</si>
  <si>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</si>
  <si>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</si>
  <si>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</si>
  <si>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</si>
  <si>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</si>
  <si>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</si>
  <si>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</si>
  <si>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</si>
  <si>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</si>
  <si>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</si>
  <si>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</si>
  <si>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</si>
  <si>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</si>
  <si>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</si>
  <si>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</si>
  <si>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</si>
  <si>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</si>
  <si>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</si>
  <si>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</si>
  <si>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</si>
  <si>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</si>
  <si>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</si>
  <si>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</si>
  <si>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</si>
  <si>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</si>
  <si>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</si>
  <si>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</si>
  <si>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</si>
  <si>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</si>
  <si>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</si>
  <si>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</si>
  <si>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</si>
  <si>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</si>
  <si>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</si>
  <si>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</si>
  <si>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</si>
  <si>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</si>
  <si>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</si>
  <si>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</si>
  <si>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</si>
  <si>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</si>
  <si>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</si>
  <si>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</si>
  <si>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</si>
  <si>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</si>
  <si>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</si>
  <si>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</si>
  <si>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</si>
  <si>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</si>
  <si>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</si>
  <si>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</si>
  <si>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</si>
  <si>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</si>
  <si>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</si>
  <si>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</si>
  <si>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</si>
  <si>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</si>
  <si>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</si>
  <si>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</si>
  <si>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</si>
  <si>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</si>
  <si>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</si>
  <si>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</si>
  <si>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</si>
  <si>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</si>
  <si>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</si>
  <si>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</si>
  <si>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</si>
  <si>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</si>
  <si>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</si>
  <si>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</si>
  <si>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</si>
  <si>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</si>
  <si>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</si>
  <si>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</si>
  <si>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</si>
  <si>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</si>
  <si>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</si>
  <si>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</si>
  <si>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</si>
  <si>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</si>
  <si>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</si>
  <si>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</si>
  <si>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</si>
  <si>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</si>
  <si>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</si>
  <si>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</si>
  <si>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</si>
  <si>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</si>
  <si>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</si>
  <si>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</si>
  <si>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</si>
  <si>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</si>
  <si>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</si>
  <si>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</si>
  <si>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</si>
  <si>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</si>
  <si>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</si>
  <si>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</si>
  <si>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</si>
  <si>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</si>
  <si>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</si>
  <si>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</si>
  <si>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</si>
  <si>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</si>
  <si>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</si>
  <si>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</si>
  <si>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</si>
  <si>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</si>
  <si>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</si>
  <si>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</si>
  <si>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</si>
  <si>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</si>
  <si>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</si>
  <si>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</si>
  <si>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</si>
  <si>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</si>
  <si>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</si>
  <si>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</si>
  <si>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</si>
  <si>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</si>
  <si>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</si>
  <si>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</si>
  <si>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</si>
  <si>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</si>
  <si>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</si>
  <si>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</si>
  <si>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</si>
  <si>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</si>
  <si>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</si>
  <si>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</si>
  <si>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</si>
  <si>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</si>
  <si>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</si>
  <si>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</si>
  <si>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</si>
  <si>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</si>
  <si>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</si>
  <si>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</si>
  <si>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</si>
  <si>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</si>
  <si>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</si>
  <si>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</si>
  <si>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</si>
  <si>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</si>
  <si>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</si>
  <si>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</si>
  <si>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</si>
  <si>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</si>
  <si>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</si>
  <si>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</si>
  <si>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</si>
  <si>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</si>
  <si>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</si>
  <si>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</si>
  <si>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</si>
  <si>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</si>
  <si>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</si>
  <si>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</si>
  <si>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</si>
  <si>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</si>
  <si>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</si>
  <si>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</si>
  <si>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</si>
  <si>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</si>
  <si>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</si>
  <si>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</si>
  <si>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</si>
  <si>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</si>
  <si>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</si>
  <si>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</si>
  <si>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</si>
  <si>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</si>
  <si>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</si>
  <si>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</si>
  <si>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</si>
  <si>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</si>
  <si>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</si>
  <si>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</si>
  <si>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</si>
  <si>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</si>
  <si>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</si>
  <si>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</si>
  <si>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</si>
  <si>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</si>
  <si>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</si>
  <si>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</si>
  <si>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</si>
  <si>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</si>
  <si>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</si>
  <si>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</si>
  <si>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</si>
  <si>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</si>
  <si>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</si>
  <si>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</si>
  <si>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</si>
  <si>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</si>
  <si>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</si>
  <si>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</si>
  <si>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</si>
  <si>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</si>
  <si>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</si>
  <si>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</si>
  <si>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</si>
  <si>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</si>
  <si>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</si>
  <si>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</si>
  <si>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</si>
  <si>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</si>
  <si>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</si>
  <si>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</si>
  <si>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</si>
  <si>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</si>
  <si>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</si>
  <si>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</si>
  <si>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</si>
  <si>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</si>
  <si>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</si>
  <si>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</si>
  <si>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</si>
  <si>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</si>
  <si>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</si>
  <si>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</si>
  <si>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</si>
  <si>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</si>
  <si>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</si>
  <si>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</si>
  <si>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</si>
  <si>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</si>
  <si>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</si>
  <si>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</si>
  <si>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</si>
  <si>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</si>
  <si>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</si>
  <si>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</si>
  <si>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</si>
  <si>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</si>
  <si>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</si>
  <si>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</si>
  <si>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</si>
  <si>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</si>
  <si>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</si>
  <si>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</si>
  <si>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</si>
  <si>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</si>
  <si>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</si>
  <si>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</si>
  <si>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</si>
  <si>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</si>
  <si>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</si>
  <si>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</si>
  <si>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</si>
  <si>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</si>
  <si>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</si>
  <si>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</si>
  <si>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</si>
  <si>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</si>
  <si>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</si>
  <si>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</si>
  <si>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</si>
  <si>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</si>
  <si>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</si>
  <si>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</si>
  <si>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</si>
  <si>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</si>
  <si>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</si>
  <si>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</si>
  <si>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</si>
  <si>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</si>
  <si>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</si>
  <si>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</si>
  <si>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</si>
  <si>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</si>
  <si>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</si>
  <si>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</si>
  <si>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</si>
  <si>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</si>
  <si>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</si>
  <si>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</si>
  <si>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</si>
  <si>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</si>
  <si>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</si>
  <si>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</si>
  <si>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</si>
  <si>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</si>
  <si>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</si>
  <si>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</si>
  <si>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</si>
  <si>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</si>
  <si>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</si>
  <si>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</si>
  <si>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</si>
  <si>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</si>
  <si>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</si>
  <si>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</si>
  <si>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</si>
  <si>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</si>
  <si>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</si>
  <si>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</si>
  <si>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</si>
  <si>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</si>
  <si>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</si>
  <si>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</si>
  <si>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</si>
  <si>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</si>
  <si>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</si>
  <si>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</si>
  <si>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</si>
  <si>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</si>
  <si>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</si>
  <si>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</si>
  <si>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</si>
  <si>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</si>
  <si>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</si>
  <si>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</si>
  <si>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</si>
  <si>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</si>
  <si>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</si>
  <si>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</si>
  <si>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</si>
  <si>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</si>
  <si>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</si>
  <si>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</si>
  <si>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</si>
  <si>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</si>
  <si>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</si>
  <si>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</si>
  <si>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</si>
  <si>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</si>
  <si>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</si>
  <si>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</si>
  <si>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</si>
  <si>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</si>
  <si>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</si>
  <si>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</si>
  <si>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</si>
  <si>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</si>
  <si>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</si>
  <si>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</si>
  <si>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</si>
  <si>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</si>
  <si>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</si>
  <si>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</si>
  <si>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</si>
  <si>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</si>
  <si>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</si>
  <si>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</si>
  <si>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</si>
  <si>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</si>
  <si>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</si>
  <si>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</si>
  <si>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</si>
  <si>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</si>
  <si>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</si>
  <si>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</si>
  <si>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</si>
  <si>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</si>
  <si>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</si>
  <si>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</si>
  <si>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</si>
  <si>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</si>
  <si>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</si>
  <si>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</si>
  <si>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</si>
  <si>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</si>
  <si>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</si>
  <si>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</si>
  <si>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</si>
  <si>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</si>
  <si>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</si>
  <si>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</si>
  <si>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</si>
  <si>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</si>
  <si>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</si>
  <si>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</si>
  <si>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</si>
  <si>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</si>
  <si>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</si>
  <si>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</si>
  <si>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</si>
  <si>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</si>
  <si>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</si>
  <si>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</si>
  <si>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</si>
  <si>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</si>
  <si>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</si>
  <si>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</si>
  <si>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</si>
  <si>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</si>
  <si>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</si>
  <si>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</si>
  <si>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</si>
  <si>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</si>
  <si>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</si>
  <si>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</si>
  <si>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</si>
  <si>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</si>
  <si>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</si>
  <si>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</si>
  <si>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</si>
  <si>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</si>
  <si>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</si>
  <si>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</si>
  <si>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</si>
  <si>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</si>
  <si>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</si>
  <si>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</si>
  <si>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</si>
  <si>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</si>
  <si>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</si>
  <si>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</si>
  <si>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</si>
  <si>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</si>
  <si>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</si>
  <si>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</si>
  <si>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</si>
  <si>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</si>
  <si>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</si>
  <si>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</si>
  <si>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</si>
  <si>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</si>
  <si>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</si>
  <si>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</si>
  <si>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</si>
  <si>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</si>
  <si>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</si>
  <si>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</si>
  <si>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</si>
  <si>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</si>
  <si>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</si>
  <si>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</si>
  <si>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</si>
  <si>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</si>
  <si>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</si>
  <si>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</si>
  <si>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</si>
  <si>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</si>
  <si>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</si>
  <si>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</si>
  <si>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</si>
  <si>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</si>
  <si>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</si>
  <si>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</si>
  <si>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</si>
  <si>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</si>
  <si>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</si>
  <si>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</si>
  <si>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</si>
  <si>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</si>
  <si>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</si>
  <si>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</si>
  <si>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</si>
  <si>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</si>
  <si>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</si>
  <si>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</si>
  <si>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</si>
  <si>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</si>
  <si>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</si>
  <si>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</si>
  <si>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</si>
  <si>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</si>
  <si>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</si>
  <si>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</si>
  <si>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</si>
  <si>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</si>
  <si>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</si>
  <si>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</si>
  <si>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</si>
  <si>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</si>
  <si>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</si>
  <si>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</si>
  <si>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</si>
  <si>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</si>
  <si>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</si>
  <si>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</si>
  <si>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</si>
  <si>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</si>
  <si>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</si>
  <si>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</si>
  <si>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</si>
  <si>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</si>
  <si>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</si>
  <si>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</si>
  <si>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</si>
  <si>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</si>
  <si>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</si>
  <si>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</si>
  <si>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</si>
  <si>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</si>
  <si>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</si>
  <si>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</si>
  <si>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</si>
  <si>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</si>
  <si>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</si>
  <si>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</si>
  <si>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</si>
  <si>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</si>
  <si>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</si>
  <si>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</si>
  <si>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</si>
  <si>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</si>
  <si>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</si>
  <si>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</si>
  <si>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</si>
  <si>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</si>
  <si>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</si>
  <si>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</si>
  <si>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</si>
  <si>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</si>
  <si>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</si>
  <si>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</si>
  <si>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</si>
  <si>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</si>
  <si>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</si>
  <si>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</si>
  <si>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</si>
  <si>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</si>
  <si>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</si>
  <si>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</si>
  <si>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</si>
  <si>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</si>
  <si>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</si>
  <si>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</si>
  <si>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</si>
  <si>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</si>
  <si>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</si>
  <si>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</si>
  <si>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</si>
  <si>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</si>
  <si>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</si>
  <si>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</si>
  <si>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</si>
  <si>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</si>
  <si>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</si>
  <si>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</si>
  <si>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</si>
  <si>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</si>
  <si>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</si>
  <si>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</si>
  <si>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</si>
  <si>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</si>
  <si>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</si>
  <si>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</si>
  <si>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</si>
  <si>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</si>
  <si>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</si>
  <si>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</si>
  <si>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</si>
  <si>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</si>
  <si>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</si>
  <si>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</si>
  <si>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</si>
  <si>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</si>
  <si>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</si>
  <si>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</si>
  <si>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</si>
  <si>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</si>
  <si>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</si>
  <si>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</si>
  <si>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</si>
  <si>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</si>
  <si>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</si>
  <si>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</si>
  <si>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</si>
  <si>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</si>
  <si>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</si>
  <si>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</si>
  <si>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</si>
  <si>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</si>
  <si>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</si>
  <si>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</si>
  <si>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</si>
  <si>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</si>
  <si>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</si>
  <si>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</si>
  <si>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</si>
  <si>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</si>
  <si>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</si>
  <si>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</si>
  <si>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</si>
  <si>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</si>
  <si>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</si>
  <si>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</si>
  <si>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</si>
  <si>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</si>
  <si>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</si>
  <si>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</si>
  <si>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</si>
  <si>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</si>
  <si>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</si>
  <si>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</si>
  <si>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</si>
  <si>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</si>
  <si>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</si>
  <si>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</si>
  <si>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</si>
  <si>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</si>
  <si>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</si>
  <si>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</si>
  <si>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</si>
  <si>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</si>
  <si>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</si>
  <si>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</si>
  <si>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</si>
  <si>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</si>
  <si>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</si>
  <si>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</si>
  <si>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</si>
  <si>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</si>
  <si>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</si>
  <si>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</si>
  <si>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</si>
  <si>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</si>
  <si>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</si>
  <si>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</si>
  <si>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</si>
  <si>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</si>
  <si>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</si>
  <si>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</si>
  <si>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</si>
  <si>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</si>
  <si>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</si>
  <si>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</si>
  <si>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</si>
  <si>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</si>
  <si>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</si>
  <si>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</si>
  <si>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</si>
  <si>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</si>
  <si>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</si>
  <si>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</si>
  <si>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</si>
  <si>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</si>
  <si>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</si>
  <si>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</si>
  <si>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</si>
  <si>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</si>
  <si>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</si>
  <si>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</si>
  <si>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</si>
  <si>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</si>
  <si>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</si>
  <si>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</si>
  <si>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</si>
  <si>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</si>
  <si>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</si>
  <si>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</si>
  <si>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</si>
  <si>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</si>
  <si>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</si>
  <si>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</si>
  <si>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</si>
  <si>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</si>
  <si>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</si>
  <si>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</si>
  <si>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</si>
  <si>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</si>
  <si>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</si>
  <si>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</si>
  <si>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</si>
  <si>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</si>
  <si>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</si>
  <si>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</si>
  <si>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</si>
  <si>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</si>
  <si>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</si>
  <si>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</si>
  <si>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</si>
  <si>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</si>
  <si>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</si>
  <si>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</si>
  <si>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</si>
  <si>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</si>
  <si>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</si>
  <si>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</si>
  <si>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</si>
  <si>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</si>
  <si>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</si>
  <si>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</si>
  <si>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</si>
  <si>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</si>
  <si>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</si>
  <si>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</si>
  <si>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</si>
  <si>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</si>
  <si>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</si>
  <si>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</si>
  <si>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</si>
  <si>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</si>
  <si>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</si>
  <si>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</si>
  <si>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</si>
  <si>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</si>
  <si>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</si>
  <si>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</si>
  <si>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</si>
  <si>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</si>
  <si>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</si>
  <si>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</si>
  <si>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</si>
  <si>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</si>
  <si>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</si>
  <si>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</si>
  <si>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</si>
  <si>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</si>
  <si>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</si>
  <si>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</si>
  <si>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</si>
  <si>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</si>
  <si>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</si>
  <si>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</si>
  <si>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</si>
  <si>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</si>
  <si>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</si>
  <si>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</si>
  <si>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</si>
  <si>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</si>
  <si>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</si>
  <si>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</si>
  <si>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</si>
  <si>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</si>
  <si>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</si>
  <si>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</si>
  <si>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</si>
  <si>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</si>
  <si>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</si>
  <si>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</si>
  <si>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</si>
  <si>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</si>
  <si>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</si>
  <si>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</si>
  <si>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</si>
  <si>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</si>
  <si>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</si>
  <si>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</si>
  <si>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</si>
  <si>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</si>
  <si>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</si>
  <si>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</si>
  <si>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</si>
  <si>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</si>
  <si>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</si>
  <si>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</si>
  <si>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</si>
  <si>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</si>
  <si>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</si>
  <si>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</si>
  <si>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</si>
  <si>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</si>
  <si>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</si>
  <si>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</si>
  <si>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</si>
  <si>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</si>
  <si>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</si>
  <si>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</si>
  <si>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</si>
  <si>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</si>
  <si>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</si>
  <si>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</si>
  <si>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</si>
  <si>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</si>
  <si>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</si>
  <si>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</si>
  <si>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</si>
  <si>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</si>
  <si>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</si>
  <si>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</si>
  <si>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</si>
  <si>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</si>
  <si>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</si>
  <si>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</si>
  <si>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</si>
  <si>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</si>
  <si>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</si>
  <si>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</si>
  <si>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</si>
  <si>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</si>
  <si>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</si>
  <si>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</si>
  <si>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</si>
  <si>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</si>
  <si>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</si>
  <si>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</si>
  <si>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</si>
  <si>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</si>
  <si>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</si>
  <si>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</si>
  <si>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</si>
  <si>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</si>
  <si>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</si>
  <si>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</si>
  <si>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</si>
  <si>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</si>
  <si>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</si>
  <si>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</si>
  <si>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</si>
  <si>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</si>
  <si>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</si>
  <si>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</si>
  <si>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</si>
  <si>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</si>
  <si>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</si>
  <si>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</si>
  <si>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</si>
  <si>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</si>
  <si>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</si>
  <si>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</si>
  <si>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</si>
  <si>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</si>
  <si>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</si>
  <si>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</si>
  <si>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</si>
  <si>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</si>
  <si>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</si>
  <si>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</si>
  <si>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</si>
  <si>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</si>
  <si>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</si>
  <si>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</si>
  <si>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</si>
  <si>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</si>
  <si>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</si>
  <si>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</si>
  <si>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</si>
  <si>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</si>
  <si>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</si>
  <si>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</si>
  <si>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</si>
  <si>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</si>
  <si>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</si>
  <si>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</si>
  <si>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</si>
  <si>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</si>
  <si>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</si>
  <si>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</si>
  <si>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</si>
  <si>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</si>
  <si>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</si>
  <si>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</si>
  <si>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</si>
  <si>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</si>
  <si>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</si>
  <si>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</si>
  <si>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</si>
  <si>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</si>
  <si>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</si>
  <si>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</si>
  <si>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</si>
  <si>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</si>
  <si>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</si>
  <si>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</si>
  <si>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</si>
  <si>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</si>
  <si>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</si>
  <si>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</si>
  <si>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</si>
  <si>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</si>
  <si>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</si>
  <si>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</si>
  <si>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</si>
  <si>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</si>
  <si>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</si>
  <si>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</si>
  <si>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</si>
  <si>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</si>
  <si>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</si>
  <si>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</si>
  <si>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</si>
  <si>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</si>
  <si>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</si>
  <si>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</si>
  <si>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</si>
  <si>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</si>
  <si>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</si>
  <si>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</si>
  <si>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</si>
  <si>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</si>
  <si>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</si>
  <si>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</si>
  <si>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</si>
  <si>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</si>
  <si>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</si>
  <si>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</si>
  <si>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</si>
  <si>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</si>
  <si>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</si>
  <si>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</si>
  <si>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</si>
  <si>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</si>
  <si>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</si>
  <si>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</si>
  <si>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</si>
  <si>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</si>
  <si>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</si>
  <si>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</si>
  <si>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</si>
  <si>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</si>
  <si>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</si>
  <si>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</si>
  <si>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</si>
  <si>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</si>
  <si>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</si>
  <si>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</si>
  <si>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</si>
  <si>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</si>
  <si>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</si>
  <si>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</si>
  <si>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</si>
  <si>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</si>
  <si>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</si>
  <si>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</si>
  <si>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</si>
  <si>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</si>
  <si>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</si>
  <si>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</si>
  <si>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</si>
  <si>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</si>
  <si>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</si>
  <si>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</si>
  <si>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</si>
  <si>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</si>
  <si>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</si>
  <si>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</si>
  <si>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</si>
  <si>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</si>
  <si>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</si>
  <si>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</si>
  <si>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</si>
  <si>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</si>
  <si>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</si>
  <si>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</si>
  <si>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</si>
  <si>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</si>
  <si>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</si>
  <si>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</si>
  <si>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</si>
  <si>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</si>
  <si>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</si>
  <si>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</si>
  <si>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</si>
  <si>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</si>
  <si>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</si>
  <si>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</si>
  <si>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</si>
  <si>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</si>
  <si>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</si>
  <si>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</si>
  <si>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</si>
  <si>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</si>
  <si>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</si>
  <si>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</si>
  <si>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</si>
  <si>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</si>
  <si>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</si>
  <si>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</si>
  <si>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</si>
  <si>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</si>
  <si>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</si>
  <si>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</si>
  <si>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</si>
  <si>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</si>
  <si>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</si>
  <si>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</si>
  <si>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</si>
  <si>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</si>
  <si>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</si>
  <si>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</si>
  <si>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</si>
  <si>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</si>
  <si>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</si>
  <si>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</si>
  <si>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</si>
  <si>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</si>
  <si>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</si>
  <si>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</si>
  <si>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</si>
  <si>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</si>
  <si>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</si>
  <si>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</si>
  <si>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</si>
  <si>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</si>
  <si>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</si>
  <si>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</si>
  <si>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</si>
  <si>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</si>
  <si>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</si>
  <si>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</si>
  <si>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</si>
  <si>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</si>
  <si>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</si>
  <si>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</si>
  <si>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</si>
  <si>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</si>
  <si>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</si>
  <si>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</si>
  <si>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</si>
  <si>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</si>
  <si>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</si>
  <si>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</si>
  <si>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</si>
  <si>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</si>
  <si>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</si>
  <si>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</si>
  <si>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</si>
  <si>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</si>
  <si>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</si>
  <si>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</si>
  <si>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</si>
  <si>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</si>
  <si>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</si>
  <si>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</si>
  <si>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</si>
  <si>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</si>
  <si>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</si>
  <si>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</si>
  <si>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</si>
  <si>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</si>
  <si>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</si>
  <si>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</si>
  <si>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</si>
  <si>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</si>
  <si>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</si>
  <si>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</si>
  <si>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</si>
  <si>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</si>
  <si>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</si>
  <si>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</si>
  <si>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</si>
  <si>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</si>
  <si>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</si>
  <si>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</si>
  <si>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</si>
  <si>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</si>
  <si>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</si>
  <si>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</si>
  <si>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</si>
  <si>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</si>
  <si>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</si>
  <si>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</si>
  <si>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</si>
  <si>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</si>
  <si>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</si>
  <si>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</si>
  <si>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</si>
  <si>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</si>
  <si>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</si>
  <si>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</si>
  <si>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</si>
  <si>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</si>
  <si>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</si>
  <si>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</si>
  <si>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</si>
  <si>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</si>
  <si>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</si>
  <si>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</si>
  <si>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</si>
  <si>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</si>
  <si>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</si>
  <si>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</si>
  <si>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</si>
  <si>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</si>
  <si>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</si>
  <si>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</si>
  <si>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</si>
  <si>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</si>
  <si>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</si>
  <si>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</si>
  <si>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</si>
  <si>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</si>
  <si>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</si>
  <si>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</si>
  <si>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</si>
  <si>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</si>
  <si>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</si>
  <si>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</si>
  <si>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</si>
  <si>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</si>
  <si>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</si>
  <si>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</si>
  <si>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</si>
  <si>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</si>
  <si>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</si>
  <si>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</si>
  <si>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</si>
  <si>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</si>
  <si>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</si>
  <si>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</si>
  <si>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</si>
  <si>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</si>
  <si>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</si>
  <si>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</si>
  <si>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</si>
  <si>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</si>
  <si>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</si>
  <si>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</si>
  <si>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</si>
  <si>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</si>
  <si>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</si>
  <si>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</si>
  <si>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</si>
  <si>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</si>
  <si>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</si>
  <si>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</si>
  <si>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</si>
  <si>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</si>
  <si>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</si>
  <si>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</si>
  <si>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</si>
  <si>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</si>
  <si>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</si>
  <si>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</si>
  <si>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</si>
  <si>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</si>
  <si>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</si>
  <si>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</si>
  <si>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</si>
  <si>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</si>
  <si>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</si>
  <si>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</si>
  <si>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</si>
  <si>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</si>
  <si>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</si>
  <si>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</si>
  <si>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</si>
  <si>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</si>
  <si>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</si>
  <si>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</si>
  <si>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</si>
  <si>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</si>
  <si>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</si>
  <si>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</si>
  <si>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</si>
  <si>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</si>
  <si>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</si>
  <si>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</si>
  <si>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</si>
  <si>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</si>
  <si>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</si>
  <si>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</si>
  <si>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</si>
  <si>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</si>
  <si>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</si>
  <si>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</si>
  <si>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</si>
  <si>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</si>
  <si>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</si>
  <si>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</si>
  <si>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</si>
  <si>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</si>
  <si>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</si>
  <si>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</si>
  <si>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</si>
  <si>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</si>
  <si>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</si>
  <si>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</si>
  <si>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</si>
  <si>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</si>
  <si>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</si>
  <si>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</si>
  <si>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</si>
  <si>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</si>
  <si>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</si>
  <si>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</si>
  <si>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</si>
  <si>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</si>
  <si>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</si>
  <si>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</si>
  <si>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</si>
  <si>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</si>
  <si>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</si>
  <si>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</si>
  <si>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</si>
  <si>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</si>
  <si>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</si>
  <si>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</si>
  <si>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</si>
  <si>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</si>
  <si>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</si>
  <si>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</si>
  <si>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</si>
  <si>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</si>
  <si>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</si>
  <si>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</si>
  <si>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</si>
  <si>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</si>
  <si>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</si>
  <si>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</si>
  <si>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</si>
  <si>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</si>
  <si>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</si>
  <si>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</si>
  <si>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</si>
  <si>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</si>
  <si>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</si>
  <si>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</si>
  <si>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</si>
  <si>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</si>
  <si>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</si>
  <si>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</si>
  <si>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</si>
  <si>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</si>
  <si>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</si>
  <si>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</si>
  <si>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</si>
  <si>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</si>
  <si>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</si>
  <si>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</si>
  <si>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</si>
  <si>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</si>
  <si>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</si>
  <si>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</si>
  <si>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</si>
  <si>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</si>
  <si>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</si>
  <si>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</si>
  <si>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</si>
  <si>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</si>
  <si>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</si>
  <si>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</si>
  <si>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</si>
  <si>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</si>
  <si>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</si>
  <si>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</si>
  <si>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</si>
  <si>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</si>
  <si>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</si>
  <si>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</si>
  <si>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</si>
  <si>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</si>
  <si>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</si>
  <si>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</si>
  <si>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</si>
  <si>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</si>
  <si>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</si>
  <si>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</si>
  <si>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</si>
  <si>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</si>
  <si>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</si>
  <si>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</si>
  <si>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</si>
  <si>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</si>
  <si>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</si>
  <si>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</si>
  <si>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</si>
  <si>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</si>
  <si>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</si>
  <si>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</si>
  <si>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</si>
  <si>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</si>
  <si>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</si>
  <si>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</si>
  <si>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</si>
  <si>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</si>
  <si>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</si>
  <si>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</si>
  <si>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</si>
  <si>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</si>
  <si>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</si>
  <si>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</si>
  <si>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</si>
  <si>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</si>
  <si>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</si>
  <si>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</si>
  <si>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</si>
  <si>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</si>
  <si>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</si>
  <si>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</si>
  <si>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</si>
  <si>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</si>
  <si>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</si>
  <si>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</si>
  <si>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</si>
  <si>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</si>
  <si>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</si>
  <si>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</si>
  <si>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</si>
  <si>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</si>
  <si>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</si>
  <si>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</si>
  <si>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</si>
  <si>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</si>
  <si>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</si>
  <si>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</si>
  <si>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</si>
  <si>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</si>
  <si>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</si>
  <si>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</si>
  <si>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</si>
  <si>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</si>
  <si>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</si>
  <si>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</si>
  <si>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</si>
  <si>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</si>
  <si>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</si>
  <si>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</si>
  <si>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</si>
  <si>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</si>
  <si>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</si>
  <si>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</si>
  <si>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</si>
  <si>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</si>
  <si>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</si>
  <si>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</si>
  <si>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</si>
  <si>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</si>
  <si>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</si>
  <si>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</si>
  <si>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</si>
  <si>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</si>
  <si>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</si>
  <si>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</si>
  <si>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</si>
  <si>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</si>
  <si>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</si>
  <si>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</si>
  <si>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</si>
  <si>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</si>
  <si>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</si>
  <si>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</si>
  <si>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</si>
  <si>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</si>
  <si>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</si>
  <si>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</si>
  <si>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</si>
  <si>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</si>
  <si>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</si>
  <si>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</si>
  <si>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</si>
  <si>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</si>
  <si>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</si>
  <si>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</si>
  <si>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</si>
  <si>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</si>
  <si>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</si>
  <si>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</si>
  <si>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</si>
  <si>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</si>
  <si>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</si>
  <si>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</si>
  <si>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</si>
  <si>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</si>
  <si>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</si>
  <si>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</si>
  <si>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</si>
  <si>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</si>
  <si>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</si>
  <si>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</si>
  <si>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</si>
  <si>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</si>
  <si>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</si>
  <si>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</si>
  <si>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</si>
  <si>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</si>
  <si>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</si>
  <si>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</si>
  <si>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</si>
  <si>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</si>
  <si>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</si>
  <si>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</si>
  <si>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</si>
  <si>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</si>
  <si>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</si>
  <si>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</si>
  <si>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</si>
  <si>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</si>
  <si>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</si>
  <si>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</si>
  <si>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</si>
  <si>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</si>
  <si>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</si>
  <si>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</si>
  <si>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</si>
  <si>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</si>
  <si>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</si>
  <si>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</si>
  <si>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</si>
  <si>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</si>
  <si>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</si>
  <si>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</si>
  <si>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</si>
  <si>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</si>
  <si>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</si>
  <si>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</si>
  <si>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</si>
  <si>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</si>
  <si>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</si>
  <si>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</si>
  <si>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</si>
  <si>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</si>
  <si>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</si>
  <si>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</si>
  <si>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</si>
  <si>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</si>
  <si>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</si>
  <si>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</si>
  <si>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</si>
  <si>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</si>
  <si>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</si>
  <si>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</si>
  <si>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</si>
  <si>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</si>
  <si>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</si>
  <si>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</si>
  <si>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</si>
  <si>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</si>
  <si>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</si>
  <si>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</si>
  <si>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</si>
  <si>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</si>
  <si>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</si>
  <si>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</si>
  <si>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</si>
  <si>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</si>
  <si>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</si>
  <si>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</si>
  <si>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</si>
  <si>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</si>
  <si>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</si>
  <si>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</si>
  <si>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</si>
  <si>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</si>
  <si>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</si>
  <si>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</si>
  <si>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</si>
  <si>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</si>
  <si>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</si>
  <si>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</si>
  <si>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</si>
  <si>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</si>
  <si>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</si>
  <si>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</si>
  <si>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</si>
  <si>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</si>
  <si>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</si>
  <si>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</si>
  <si>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</si>
  <si>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</si>
  <si>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</si>
  <si>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</si>
  <si>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</si>
  <si>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</si>
  <si>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</si>
  <si>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</si>
  <si>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</si>
  <si>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</si>
  <si>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</si>
  <si>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</si>
  <si>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</si>
  <si>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</si>
  <si>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</si>
  <si>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</si>
  <si>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</si>
  <si>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</si>
  <si>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</si>
  <si>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</si>
  <si>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</si>
  <si>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</si>
  <si>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</si>
  <si>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</si>
  <si>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</si>
  <si>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</si>
  <si>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</si>
  <si>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</si>
  <si>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</si>
  <si>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</si>
  <si>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</si>
  <si>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</si>
  <si>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</si>
  <si>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</si>
  <si>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</si>
  <si>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</si>
  <si>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</si>
  <si>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</si>
  <si>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</si>
  <si>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</si>
  <si>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</si>
  <si>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</si>
  <si>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</si>
  <si>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</si>
  <si>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</si>
  <si>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</si>
  <si>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</si>
  <si>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</si>
  <si>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</si>
  <si>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</si>
  <si>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</si>
  <si>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</si>
  <si>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</si>
  <si>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</si>
  <si>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</si>
  <si>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</si>
  <si>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</si>
  <si>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</si>
  <si>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</si>
  <si>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</si>
  <si>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</si>
  <si>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</si>
  <si>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</si>
  <si>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</si>
  <si>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</si>
  <si>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</si>
  <si>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</si>
  <si>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</si>
  <si>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</si>
  <si>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</si>
  <si>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</si>
  <si>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</si>
  <si>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</si>
  <si>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</si>
  <si>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</si>
  <si>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</si>
  <si>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</si>
  <si>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</si>
  <si>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</si>
  <si>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</si>
  <si>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</si>
  <si>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</si>
  <si>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</si>
  <si>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</si>
  <si>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</si>
  <si>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</si>
  <si>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</si>
  <si>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</si>
  <si>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</si>
  <si>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</si>
  <si>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</si>
  <si>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</si>
  <si>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</si>
  <si>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</si>
  <si>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</si>
  <si>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</si>
  <si>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</si>
  <si>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</si>
  <si>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</si>
  <si>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</si>
  <si>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</si>
  <si>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</si>
  <si>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</si>
  <si>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</si>
  <si>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</si>
  <si>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</si>
  <si>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</si>
  <si>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</si>
  <si>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</si>
  <si>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</si>
  <si>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</si>
  <si>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</si>
  <si>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</si>
  <si>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</si>
  <si>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</si>
  <si>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</si>
  <si>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</si>
  <si>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</si>
  <si>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</si>
  <si>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</si>
  <si>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</si>
  <si>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</si>
  <si>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</si>
  <si>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</si>
  <si>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</si>
  <si>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</si>
  <si>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</si>
  <si>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</si>
  <si>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</si>
  <si>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</si>
  <si>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</si>
  <si>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</si>
  <si>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</si>
  <si>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</si>
  <si>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</si>
  <si>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</si>
  <si>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</si>
  <si>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</si>
  <si>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</si>
  <si>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</si>
  <si>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</si>
  <si>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</si>
  <si>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</si>
  <si>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</si>
  <si>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</si>
  <si>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</si>
  <si>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</si>
  <si>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</si>
  <si>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</si>
  <si>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</si>
  <si>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</si>
  <si>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</si>
  <si>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</si>
  <si>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</si>
  <si>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</si>
  <si>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</si>
  <si>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</si>
  <si>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</si>
  <si>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</si>
  <si>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</si>
  <si>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</si>
  <si>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</si>
  <si>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</si>
  <si>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</si>
  <si>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</si>
  <si>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</si>
  <si>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</si>
  <si>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</si>
  <si>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</si>
  <si>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</si>
  <si>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</si>
  <si>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</si>
  <si>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</si>
  <si>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</si>
  <si>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</si>
  <si>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</si>
  <si>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</si>
  <si>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</si>
  <si>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</si>
  <si>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</si>
  <si>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</si>
  <si>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</si>
  <si>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</si>
  <si>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</si>
  <si>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</si>
  <si>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</si>
  <si>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</si>
  <si>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</si>
  <si>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</si>
  <si>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</si>
  <si>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</si>
  <si>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</si>
  <si>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</si>
  <si>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</si>
  <si>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</si>
  <si>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</si>
  <si>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</si>
  <si>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</si>
  <si>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</si>
  <si>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</si>
  <si>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</si>
  <si>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</si>
  <si>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</si>
  <si>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</si>
  <si>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</si>
  <si>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</si>
  <si>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</si>
  <si>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</si>
  <si>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</si>
  <si>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</si>
  <si>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</si>
  <si>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</si>
  <si>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</si>
  <si>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</si>
  <si>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</si>
  <si>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</si>
  <si>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</si>
  <si>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</si>
  <si>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</si>
  <si>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</si>
  <si>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</si>
  <si>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</si>
  <si>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</si>
  <si>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</si>
  <si>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</si>
  <si>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</si>
  <si>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</si>
  <si>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</si>
  <si>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</si>
  <si>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</si>
  <si>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</si>
  <si>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</si>
  <si>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</si>
  <si>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</si>
  <si>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</si>
  <si>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</si>
  <si>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</si>
  <si>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</si>
  <si>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</si>
  <si>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</si>
  <si>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</si>
  <si>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</si>
  <si>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</si>
  <si>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</si>
  <si>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</si>
  <si>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</si>
  <si>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</si>
  <si>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</si>
  <si>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</si>
  <si>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</si>
  <si>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</si>
  <si>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</si>
  <si>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</si>
  <si>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</si>
  <si>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</si>
  <si>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</si>
  <si>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</si>
  <si>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</si>
  <si>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</si>
  <si>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</si>
  <si>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</si>
  <si>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</si>
  <si>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</si>
  <si>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</si>
  <si>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</si>
  <si>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</si>
  <si>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</si>
  <si>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</si>
  <si>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</si>
  <si>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</si>
  <si>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</si>
  <si>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</si>
  <si>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</si>
  <si>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</si>
  <si>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</si>
  <si>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</si>
  <si>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</si>
  <si>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</si>
  <si>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</si>
  <si>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</si>
  <si>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</si>
  <si>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</si>
  <si>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</si>
  <si>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</si>
  <si>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</si>
  <si>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</si>
  <si>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</si>
  <si>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</si>
  <si>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</si>
  <si>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</si>
  <si>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</si>
  <si>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</si>
  <si>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</si>
  <si>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</si>
  <si>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</si>
  <si>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</si>
  <si>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</si>
  <si>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</si>
  <si>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</si>
  <si>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</si>
  <si>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</si>
  <si>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</si>
  <si>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</si>
  <si>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</si>
  <si>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</si>
  <si>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</si>
  <si>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</si>
  <si>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</si>
  <si>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</si>
  <si>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</si>
  <si>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</si>
  <si>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</si>
  <si>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</si>
  <si>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</si>
  <si>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</si>
  <si>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</si>
  <si>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</si>
  <si>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</si>
  <si>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</si>
  <si>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</si>
  <si>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</si>
  <si>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</si>
  <si>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</si>
  <si>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</si>
  <si>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</si>
  <si>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</si>
  <si>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</si>
  <si>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</si>
  <si>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</si>
  <si>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</si>
  <si>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</si>
  <si>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</si>
  <si>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</si>
  <si>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</si>
  <si>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</si>
  <si>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</si>
  <si>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</si>
  <si>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</si>
  <si>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</si>
  <si>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</si>
  <si>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</si>
  <si>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</si>
  <si>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</si>
  <si>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</si>
  <si>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</si>
  <si>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</si>
  <si>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</si>
  <si>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</si>
  <si>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</si>
  <si>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</si>
  <si>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</si>
  <si>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</si>
  <si>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</si>
  <si>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</si>
  <si>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</si>
  <si>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</si>
  <si>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</si>
  <si>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</si>
  <si>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</si>
  <si>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</si>
  <si>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</si>
  <si>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</si>
  <si>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</si>
  <si>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</si>
  <si>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</si>
  <si>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</si>
  <si>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</si>
  <si>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</si>
  <si>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</si>
  <si>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</si>
  <si>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</si>
  <si>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Machine Dynamics &amp; Engineering, dba DuraFin Tube</t>
  </si>
  <si>
    <t xml:space="preserve">Production of Finned and enhanced tubing including Bending, coiling, extruded, corrugated tubing. Material specifications defined in Purchase Order, Print Specification, Customer Requirements when provided by the customer. </t>
  </si>
  <si>
    <t>618728364</t>
  </si>
  <si>
    <t>DUNS</t>
  </si>
  <si>
    <t>9312 Arrow Road NW Minerva, OH 44657</t>
  </si>
  <si>
    <t>David Myers</t>
  </si>
  <si>
    <t>dmyers@durafintube.com</t>
  </si>
  <si>
    <t>330-868-3060</t>
  </si>
  <si>
    <t>Kenneth Barkan</t>
  </si>
  <si>
    <t>President</t>
  </si>
  <si>
    <t>kbarkan @durafintube.com</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</si>
  <si>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</si>
  <si>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https://durafintube.com/downloads/</t>
  </si>
  <si>
    <t xml:space="preserve">DuraFin Tube does not purchase materials directly from smelters. We are sourcing materials from distribution supplier in the USA. We use the suppliers material test report (MTR) and CMRT to validate sourcing.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</si>
</sst>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lignment horizontal="center" vertical="center"/>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myers@durafintub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durafintube.com/download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3" customWidth="1"/>
    <col min="5" max="5" width="42.375" customWidth="1"/>
    <col min="6" max="6" width="53.375" customWidth="1"/>
    <col min="7" max="7" width="0.875" customWidth="1"/>
  </cols>
  <sheetData>
    <row r="1" spans="1:7" ht="13.5" thickTop="1">
      <c r="A1" s="5"/>
      <c r="B1" s="6"/>
      <c r="C1" s="6"/>
      <c r="D1" s="167"/>
      <c r="E1" s="6"/>
      <c r="F1" s="6"/>
      <c r="G1" s="7"/>
    </row>
    <row r="2" spans="1:7">
      <c r="A2" s="293"/>
      <c r="B2" s="3" t="s">
        <v>0</v>
      </c>
      <c r="C2" s="1"/>
      <c r="D2" s="168"/>
      <c r="E2" s="1"/>
      <c r="F2" s="1"/>
      <c r="G2" s="285"/>
    </row>
    <row r="3" spans="1:7">
      <c r="A3" s="293"/>
      <c r="B3" s="1" t="s">
        <v>1</v>
      </c>
      <c r="C3" s="3"/>
      <c r="D3" s="169"/>
      <c r="E3" s="1"/>
      <c r="F3" s="3"/>
      <c r="G3" s="285"/>
    </row>
    <row r="4" spans="1:7" ht="15.75">
      <c r="A4" s="293"/>
      <c r="B4" s="26" t="s">
        <v>2</v>
      </c>
      <c r="C4" s="4"/>
      <c r="D4" s="170"/>
      <c r="E4" s="1"/>
      <c r="F4" s="4"/>
      <c r="G4" s="285"/>
    </row>
    <row r="5" spans="1:7">
      <c r="A5" s="293"/>
      <c r="B5" s="25" t="s">
        <v>3</v>
      </c>
      <c r="C5" s="2"/>
      <c r="D5" s="171"/>
      <c r="E5" s="1"/>
      <c r="F5" s="2"/>
      <c r="G5" s="285"/>
    </row>
    <row r="6" spans="1:7">
      <c r="A6" s="293"/>
      <c r="B6" s="1"/>
      <c r="C6" s="1"/>
      <c r="D6" s="168"/>
      <c r="E6" s="1"/>
      <c r="F6" s="1"/>
      <c r="G6" s="285"/>
    </row>
    <row r="7" spans="1:7">
      <c r="A7" s="293"/>
      <c r="B7" s="1"/>
      <c r="C7" s="1"/>
      <c r="D7" s="168"/>
      <c r="E7" s="1"/>
      <c r="F7" s="1"/>
      <c r="G7" s="285"/>
    </row>
    <row r="8" spans="1:7">
      <c r="A8" s="293"/>
      <c r="B8" s="1"/>
      <c r="C8" s="1"/>
      <c r="D8" s="168"/>
      <c r="E8" s="1"/>
      <c r="F8" s="1"/>
      <c r="G8" s="285"/>
    </row>
    <row r="9" spans="1:7">
      <c r="A9" s="293"/>
      <c r="B9" s="296" t="s">
        <v>4</v>
      </c>
      <c r="C9" s="296"/>
      <c r="D9" s="296"/>
      <c r="E9" s="296"/>
      <c r="F9" s="296"/>
      <c r="G9" s="285"/>
    </row>
    <row r="10" spans="1:7" ht="27" customHeight="1">
      <c r="A10" s="293"/>
      <c r="B10" s="297" t="s">
        <v>5</v>
      </c>
      <c r="C10" s="297"/>
      <c r="D10" s="297"/>
      <c r="E10" s="297"/>
      <c r="F10" s="297"/>
      <c r="G10" s="285"/>
    </row>
    <row r="11" spans="1:7" ht="27" customHeight="1">
      <c r="A11" s="293"/>
      <c r="B11" s="298"/>
      <c r="C11" s="298"/>
      <c r="D11" s="298"/>
      <c r="E11" s="298"/>
      <c r="F11" s="298"/>
      <c r="G11" s="285"/>
    </row>
    <row r="12" spans="1:7">
      <c r="A12" s="293"/>
      <c r="B12" s="27" t="s">
        <v>6</v>
      </c>
      <c r="C12" s="28" t="s">
        <v>7</v>
      </c>
      <c r="D12" s="172" t="s">
        <v>8</v>
      </c>
      <c r="E12" s="28" t="s">
        <v>9</v>
      </c>
      <c r="F12" s="28" t="s">
        <v>10</v>
      </c>
      <c r="G12" s="285"/>
    </row>
    <row r="13" spans="1:7" ht="33.75">
      <c r="A13" s="293"/>
      <c r="B13" s="283">
        <v>1</v>
      </c>
      <c r="C13" s="23" t="s">
        <v>11</v>
      </c>
      <c r="D13" s="24" t="s">
        <v>12</v>
      </c>
      <c r="E13" s="156" t="s">
        <v>13</v>
      </c>
      <c r="F13" s="156"/>
      <c r="G13" s="285"/>
    </row>
    <row r="14" spans="1:7" ht="33.75">
      <c r="A14" s="293"/>
      <c r="B14" s="283">
        <v>2</v>
      </c>
      <c r="C14" s="23" t="s">
        <v>11</v>
      </c>
      <c r="D14" s="24" t="s">
        <v>14</v>
      </c>
      <c r="E14" s="156" t="s">
        <v>15</v>
      </c>
      <c r="F14" s="156" t="s">
        <v>16</v>
      </c>
      <c r="G14" s="285"/>
    </row>
    <row r="15" spans="1:7" ht="89.1" customHeight="1">
      <c r="A15" s="293"/>
      <c r="B15" s="299">
        <v>2.0099999999999998</v>
      </c>
      <c r="C15" s="302" t="s">
        <v>11</v>
      </c>
      <c r="D15" s="305" t="s">
        <v>17</v>
      </c>
      <c r="E15" s="157" t="s">
        <v>18</v>
      </c>
      <c r="F15" s="157" t="s">
        <v>19</v>
      </c>
      <c r="G15" s="285"/>
    </row>
    <row r="16" spans="1:7" ht="99" customHeight="1">
      <c r="A16" s="293"/>
      <c r="B16" s="300"/>
      <c r="C16" s="303"/>
      <c r="D16" s="306"/>
      <c r="E16" s="158"/>
      <c r="F16" s="158" t="s">
        <v>20</v>
      </c>
      <c r="G16" s="285"/>
    </row>
    <row r="17" spans="1:7" ht="63" customHeight="1">
      <c r="A17" s="293"/>
      <c r="B17" s="301"/>
      <c r="C17" s="304"/>
      <c r="D17" s="307"/>
      <c r="E17" s="23"/>
      <c r="F17" s="23" t="s">
        <v>21</v>
      </c>
      <c r="G17" s="285"/>
    </row>
    <row r="18" spans="1:7" ht="117" customHeight="1">
      <c r="A18" s="293"/>
      <c r="B18" s="299">
        <v>2.02</v>
      </c>
      <c r="C18" s="302" t="s">
        <v>11</v>
      </c>
      <c r="D18" s="305" t="s">
        <v>22</v>
      </c>
      <c r="E18" s="157" t="s">
        <v>23</v>
      </c>
      <c r="F18" s="157" t="s">
        <v>24</v>
      </c>
      <c r="G18" s="285"/>
    </row>
    <row r="19" spans="1:7" ht="71.099999999999994" customHeight="1">
      <c r="A19" s="293"/>
      <c r="B19" s="300"/>
      <c r="C19" s="303"/>
      <c r="D19" s="306"/>
      <c r="E19" s="158" t="s">
        <v>25</v>
      </c>
      <c r="F19" s="158" t="s">
        <v>26</v>
      </c>
      <c r="G19" s="285"/>
    </row>
    <row r="20" spans="1:7" ht="90.75" customHeight="1">
      <c r="A20" s="293"/>
      <c r="B20" s="300"/>
      <c r="C20" s="303"/>
      <c r="D20" s="306"/>
      <c r="E20" s="158"/>
      <c r="F20" s="158" t="s">
        <v>27</v>
      </c>
      <c r="G20" s="285"/>
    </row>
    <row r="21" spans="1:7" ht="74.25" customHeight="1">
      <c r="A21" s="293"/>
      <c r="B21" s="301"/>
      <c r="C21" s="304"/>
      <c r="D21" s="307"/>
      <c r="E21" s="23"/>
      <c r="F21" s="23" t="s">
        <v>28</v>
      </c>
      <c r="G21" s="285"/>
    </row>
    <row r="22" spans="1:7" ht="90" customHeight="1">
      <c r="A22" s="293"/>
      <c r="B22" s="311">
        <v>2.0299999999999998</v>
      </c>
      <c r="C22" s="311" t="s">
        <v>29</v>
      </c>
      <c r="D22" s="314" t="s">
        <v>30</v>
      </c>
      <c r="E22" s="302" t="s">
        <v>31</v>
      </c>
      <c r="F22" s="157" t="s">
        <v>32</v>
      </c>
      <c r="G22" s="285"/>
    </row>
    <row r="23" spans="1:7" ht="109.5" customHeight="1">
      <c r="A23" s="293"/>
      <c r="B23" s="312"/>
      <c r="C23" s="312"/>
      <c r="D23" s="315"/>
      <c r="E23" s="303"/>
      <c r="F23" s="158" t="s">
        <v>33</v>
      </c>
      <c r="G23" s="285"/>
    </row>
    <row r="24" spans="1:7" ht="74.25" customHeight="1">
      <c r="A24" s="293"/>
      <c r="B24" s="313"/>
      <c r="C24" s="313"/>
      <c r="D24" s="316"/>
      <c r="E24" s="304"/>
      <c r="F24" s="23" t="s">
        <v>34</v>
      </c>
      <c r="G24" s="285"/>
    </row>
    <row r="25" spans="1:7" ht="72" customHeight="1">
      <c r="A25" s="293"/>
      <c r="B25" s="283" t="s">
        <v>35</v>
      </c>
      <c r="C25" s="23" t="s">
        <v>36</v>
      </c>
      <c r="D25" s="24" t="s">
        <v>37</v>
      </c>
      <c r="E25" s="23" t="s">
        <v>38</v>
      </c>
      <c r="F25" s="23" t="s">
        <v>39</v>
      </c>
      <c r="G25" s="285"/>
    </row>
    <row r="26" spans="1:7" ht="98.1" customHeight="1">
      <c r="A26" s="293"/>
      <c r="B26" s="308">
        <v>3</v>
      </c>
      <c r="C26" s="299" t="s">
        <v>40</v>
      </c>
      <c r="D26" s="305" t="s">
        <v>41</v>
      </c>
      <c r="E26" s="302" t="s">
        <v>42</v>
      </c>
      <c r="F26" s="157" t="s">
        <v>43</v>
      </c>
      <c r="G26" s="285"/>
    </row>
    <row r="27" spans="1:7" ht="90" customHeight="1">
      <c r="A27" s="293"/>
      <c r="B27" s="309"/>
      <c r="C27" s="300"/>
      <c r="D27" s="306"/>
      <c r="E27" s="303"/>
      <c r="F27" s="158" t="s">
        <v>44</v>
      </c>
      <c r="G27" s="285"/>
    </row>
    <row r="28" spans="1:7" ht="19.350000000000001" customHeight="1">
      <c r="A28" s="293"/>
      <c r="B28" s="309"/>
      <c r="C28" s="300"/>
      <c r="D28" s="306"/>
      <c r="E28" s="303"/>
      <c r="F28" s="158" t="s">
        <v>45</v>
      </c>
      <c r="G28" s="285"/>
    </row>
    <row r="29" spans="1:7" ht="74.650000000000006" customHeight="1">
      <c r="A29" s="293"/>
      <c r="B29" s="309"/>
      <c r="C29" s="300"/>
      <c r="D29" s="306"/>
      <c r="E29" s="303"/>
      <c r="F29" s="158" t="s">
        <v>46</v>
      </c>
      <c r="G29" s="285"/>
    </row>
    <row r="30" spans="1:7" ht="62.65" customHeight="1">
      <c r="A30" s="293"/>
      <c r="B30" s="309"/>
      <c r="C30" s="300"/>
      <c r="D30" s="306"/>
      <c r="E30" s="303"/>
      <c r="F30" s="158" t="s">
        <v>47</v>
      </c>
      <c r="G30" s="285"/>
    </row>
    <row r="31" spans="1:7" ht="81" customHeight="1">
      <c r="A31" s="293"/>
      <c r="B31" s="309"/>
      <c r="C31" s="300"/>
      <c r="D31" s="306"/>
      <c r="E31" s="303"/>
      <c r="F31" s="158" t="s">
        <v>48</v>
      </c>
      <c r="G31" s="285"/>
    </row>
    <row r="32" spans="1:7" ht="48.75" customHeight="1">
      <c r="A32" s="293"/>
      <c r="B32" s="309"/>
      <c r="C32" s="300"/>
      <c r="D32" s="306"/>
      <c r="E32" s="303"/>
      <c r="F32" s="158" t="s">
        <v>49</v>
      </c>
      <c r="G32" s="285"/>
    </row>
    <row r="33" spans="1:7" ht="98.65" customHeight="1">
      <c r="A33" s="293"/>
      <c r="B33" s="309"/>
      <c r="C33" s="300"/>
      <c r="D33" s="306"/>
      <c r="E33" s="303"/>
      <c r="F33" s="158" t="s">
        <v>50</v>
      </c>
      <c r="G33" s="285"/>
    </row>
    <row r="34" spans="1:7" ht="89.1" customHeight="1">
      <c r="A34" s="293"/>
      <c r="B34" s="309"/>
      <c r="C34" s="300"/>
      <c r="D34" s="306"/>
      <c r="E34" s="303"/>
      <c r="F34" s="158" t="s">
        <v>51</v>
      </c>
      <c r="G34" s="285"/>
    </row>
    <row r="35" spans="1:7" ht="29.1" customHeight="1">
      <c r="A35" s="293"/>
      <c r="B35" s="309"/>
      <c r="C35" s="300"/>
      <c r="D35" s="306"/>
      <c r="E35" s="303"/>
      <c r="F35" s="158" t="s">
        <v>52</v>
      </c>
      <c r="G35" s="285"/>
    </row>
    <row r="36" spans="1:7" ht="126.75">
      <c r="A36" s="293"/>
      <c r="B36" s="310"/>
      <c r="C36" s="301"/>
      <c r="D36" s="307"/>
      <c r="E36" s="304"/>
      <c r="F36" s="159" t="s">
        <v>53</v>
      </c>
      <c r="G36" s="285"/>
    </row>
    <row r="37" spans="1:7" ht="112.5">
      <c r="A37" s="293"/>
      <c r="B37" s="284">
        <v>3.01</v>
      </c>
      <c r="C37" s="135" t="s">
        <v>40</v>
      </c>
      <c r="D37" s="24" t="s">
        <v>54</v>
      </c>
      <c r="E37" s="160" t="s">
        <v>55</v>
      </c>
      <c r="F37" s="161" t="s">
        <v>56</v>
      </c>
      <c r="G37" s="285"/>
    </row>
    <row r="38" spans="1:7" ht="101.25">
      <c r="A38" s="293"/>
      <c r="B38" s="284">
        <v>3.02</v>
      </c>
      <c r="C38" s="135" t="s">
        <v>57</v>
      </c>
      <c r="D38" s="24" t="s">
        <v>58</v>
      </c>
      <c r="E38" s="160" t="s">
        <v>59</v>
      </c>
      <c r="F38" s="161" t="s">
        <v>60</v>
      </c>
      <c r="G38" s="285"/>
    </row>
    <row r="39" spans="1:7" ht="101.25">
      <c r="A39" s="293"/>
      <c r="B39" s="143">
        <v>4</v>
      </c>
      <c r="C39" s="142" t="s">
        <v>61</v>
      </c>
      <c r="D39" s="24" t="s">
        <v>62</v>
      </c>
      <c r="E39" s="23" t="s">
        <v>63</v>
      </c>
      <c r="F39" s="23" t="s">
        <v>64</v>
      </c>
      <c r="G39" s="285"/>
    </row>
    <row r="40" spans="1:7" ht="56.25">
      <c r="A40" s="293"/>
      <c r="B40" s="284">
        <v>4.01</v>
      </c>
      <c r="C40" s="142" t="s">
        <v>61</v>
      </c>
      <c r="D40" s="24" t="s">
        <v>65</v>
      </c>
      <c r="E40" s="23" t="s">
        <v>66</v>
      </c>
      <c r="F40" s="23" t="s">
        <v>67</v>
      </c>
      <c r="G40" s="285"/>
    </row>
    <row r="41" spans="1:7" ht="56.25">
      <c r="A41" s="293"/>
      <c r="B41" s="284" t="s">
        <v>68</v>
      </c>
      <c r="C41" s="142" t="s">
        <v>61</v>
      </c>
      <c r="D41" s="24" t="s">
        <v>69</v>
      </c>
      <c r="E41" s="23" t="s">
        <v>70</v>
      </c>
      <c r="F41" s="23" t="s">
        <v>71</v>
      </c>
      <c r="G41" s="285"/>
    </row>
    <row r="42" spans="1:7" ht="56.25">
      <c r="A42" s="293"/>
      <c r="B42" s="284" t="s">
        <v>72</v>
      </c>
      <c r="C42" s="142" t="s">
        <v>61</v>
      </c>
      <c r="D42" s="24" t="s">
        <v>73</v>
      </c>
      <c r="E42" s="23" t="s">
        <v>38</v>
      </c>
      <c r="F42" s="23" t="s">
        <v>74</v>
      </c>
      <c r="G42" s="285"/>
    </row>
    <row r="43" spans="1:7" ht="123.75">
      <c r="A43" s="293"/>
      <c r="B43" s="153">
        <v>4.0999999999999996</v>
      </c>
      <c r="C43" s="142" t="s">
        <v>75</v>
      </c>
      <c r="D43" s="154">
        <v>42867</v>
      </c>
      <c r="E43" s="162" t="s">
        <v>76</v>
      </c>
      <c r="F43" s="23" t="s">
        <v>77</v>
      </c>
      <c r="G43" s="285"/>
    </row>
    <row r="44" spans="1:7" ht="78.75">
      <c r="A44" s="293"/>
      <c r="B44" s="153">
        <v>4.2</v>
      </c>
      <c r="C44" s="142" t="s">
        <v>75</v>
      </c>
      <c r="D44" s="154">
        <v>42704</v>
      </c>
      <c r="E44" s="162" t="s">
        <v>78</v>
      </c>
      <c r="F44" s="23" t="s">
        <v>79</v>
      </c>
      <c r="G44" s="285"/>
    </row>
    <row r="45" spans="1:7" ht="157.5">
      <c r="A45" s="293"/>
      <c r="B45" s="195">
        <v>5</v>
      </c>
      <c r="C45" s="142" t="s">
        <v>75</v>
      </c>
      <c r="D45" s="154">
        <v>42867</v>
      </c>
      <c r="E45" s="162" t="s">
        <v>80</v>
      </c>
      <c r="F45" s="23" t="s">
        <v>81</v>
      </c>
      <c r="G45" s="285"/>
    </row>
    <row r="46" spans="1:7" ht="45">
      <c r="A46" s="293"/>
      <c r="B46" s="153">
        <v>5.01</v>
      </c>
      <c r="C46" s="142" t="s">
        <v>75</v>
      </c>
      <c r="D46" s="154">
        <v>42907</v>
      </c>
      <c r="E46" s="162" t="s">
        <v>82</v>
      </c>
      <c r="F46" s="23" t="s">
        <v>81</v>
      </c>
      <c r="G46" s="285"/>
    </row>
    <row r="47" spans="1:7" ht="67.5">
      <c r="A47" s="293"/>
      <c r="B47" s="153">
        <v>5.0999999999999996</v>
      </c>
      <c r="C47" s="142" t="s">
        <v>75</v>
      </c>
      <c r="D47" s="154">
        <v>43070</v>
      </c>
      <c r="E47" s="162" t="s">
        <v>83</v>
      </c>
      <c r="F47" s="23" t="s">
        <v>84</v>
      </c>
      <c r="G47" s="285"/>
    </row>
    <row r="48" spans="1:7" ht="56.25">
      <c r="A48" s="293"/>
      <c r="B48" s="153">
        <v>5.1100000000000003</v>
      </c>
      <c r="C48" s="142" t="s">
        <v>85</v>
      </c>
      <c r="D48" s="154">
        <v>43217</v>
      </c>
      <c r="E48" s="162" t="s">
        <v>86</v>
      </c>
      <c r="F48" s="23" t="s">
        <v>87</v>
      </c>
      <c r="G48" s="285"/>
    </row>
    <row r="49" spans="1:7" ht="56.25">
      <c r="A49" s="293"/>
      <c r="B49" s="153">
        <v>5.12</v>
      </c>
      <c r="C49" s="142" t="s">
        <v>85</v>
      </c>
      <c r="D49" s="154">
        <v>43581</v>
      </c>
      <c r="E49" s="162" t="s">
        <v>86</v>
      </c>
      <c r="F49" s="23" t="s">
        <v>88</v>
      </c>
      <c r="G49" s="285"/>
    </row>
    <row r="50" spans="1:7" ht="78.75">
      <c r="A50" s="293"/>
      <c r="B50" s="195">
        <v>6</v>
      </c>
      <c r="C50" s="142" t="s">
        <v>85</v>
      </c>
      <c r="D50" s="154">
        <v>43964</v>
      </c>
      <c r="E50" s="162" t="s">
        <v>89</v>
      </c>
      <c r="F50" s="23" t="s">
        <v>90</v>
      </c>
      <c r="G50" s="285"/>
    </row>
    <row r="51" spans="1:7" ht="45">
      <c r="A51" s="293"/>
      <c r="B51" s="153">
        <v>6.01</v>
      </c>
      <c r="C51" s="142" t="s">
        <v>85</v>
      </c>
      <c r="D51" s="154">
        <v>43970</v>
      </c>
      <c r="E51" s="162" t="s">
        <v>91</v>
      </c>
      <c r="F51" s="162" t="s">
        <v>90</v>
      </c>
      <c r="G51" s="285"/>
    </row>
    <row r="52" spans="1:7" ht="45">
      <c r="A52" s="293"/>
      <c r="B52" s="153">
        <v>6.1</v>
      </c>
      <c r="C52" s="142" t="s">
        <v>85</v>
      </c>
      <c r="D52" s="154">
        <v>44314</v>
      </c>
      <c r="E52" s="162" t="s">
        <v>92</v>
      </c>
      <c r="F52" s="162" t="s">
        <v>93</v>
      </c>
      <c r="G52" s="285"/>
    </row>
    <row r="53" spans="1:7" ht="45">
      <c r="A53" s="293"/>
      <c r="B53" s="153">
        <v>6.2</v>
      </c>
      <c r="C53" s="142" t="s">
        <v>85</v>
      </c>
      <c r="D53" s="154">
        <v>44678</v>
      </c>
      <c r="E53" s="162" t="s">
        <v>92</v>
      </c>
      <c r="F53" s="162" t="s">
        <v>94</v>
      </c>
      <c r="G53" s="285"/>
    </row>
    <row r="54" spans="1:7" ht="45">
      <c r="A54" s="293"/>
      <c r="B54" s="153">
        <v>6.21</v>
      </c>
      <c r="C54" s="142" t="s">
        <v>85</v>
      </c>
      <c r="D54" s="154">
        <v>44687</v>
      </c>
      <c r="E54" s="162" t="s">
        <v>95</v>
      </c>
      <c r="F54" s="162" t="s">
        <v>94</v>
      </c>
      <c r="G54" s="285"/>
    </row>
    <row r="55" spans="1:7" ht="45">
      <c r="A55" s="293"/>
      <c r="B55" s="153">
        <v>6.22</v>
      </c>
      <c r="C55" s="142" t="s">
        <v>85</v>
      </c>
      <c r="D55" s="265">
        <v>44692</v>
      </c>
      <c r="E55" s="162" t="s">
        <v>91</v>
      </c>
      <c r="F55" s="162" t="s">
        <v>94</v>
      </c>
      <c r="G55" s="285"/>
    </row>
    <row r="56" spans="1:7" ht="56.25">
      <c r="A56" s="293"/>
      <c r="B56" s="195">
        <v>6.3</v>
      </c>
      <c r="C56" s="142" t="s">
        <v>85</v>
      </c>
      <c r="D56" s="265">
        <v>45051</v>
      </c>
      <c r="E56" s="162" t="s">
        <v>96</v>
      </c>
      <c r="F56" s="162" t="s">
        <v>97</v>
      </c>
      <c r="G56" s="285"/>
    </row>
    <row r="57" spans="1:7" ht="45">
      <c r="A57" s="293"/>
      <c r="B57" s="153">
        <v>6.31</v>
      </c>
      <c r="C57" s="142" t="s">
        <v>85</v>
      </c>
      <c r="D57" s="265">
        <v>45072</v>
      </c>
      <c r="E57" s="162" t="s">
        <v>98</v>
      </c>
      <c r="F57" s="162" t="s">
        <v>97</v>
      </c>
      <c r="G57" s="285"/>
    </row>
    <row r="58" spans="1:7" ht="13.5" thickBot="1">
      <c r="A58" s="294"/>
      <c r="B58" s="295" t="str">
        <f ca="1">OFFSET(L!$C$1,MATCH("General"&amp;"Cpy",L!$A:$A,0)-1,SL,,)</f>
        <v>© 2023 Responsible Minerals Initiative. All rights reserved.</v>
      </c>
      <c r="C58" s="295"/>
      <c r="D58" s="295"/>
      <c r="E58" s="295"/>
      <c r="F58" s="295"/>
      <c r="G58" s="28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1" customWidth="1"/>
    <col min="2" max="2" width="57.125" style="61" customWidth="1"/>
    <col min="3" max="16384" width="8.875" style="61"/>
  </cols>
  <sheetData>
    <row r="1" spans="1:2">
      <c r="A1" s="60" t="s">
        <v>4782</v>
      </c>
      <c r="B1" s="60"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939ECB7-99CB-4673-8CE4-AF254B33F94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5229</v>
      </c>
      <c r="B1" t="s">
        <v>5230</v>
      </c>
      <c r="C1" t="s">
        <v>5231</v>
      </c>
    </row>
    <row r="2" spans="1:3">
      <c r="A2" t="s">
        <v>5232</v>
      </c>
      <c r="B2" t="s">
        <v>5233</v>
      </c>
      <c r="C2" t="str">
        <f>LEFT(A2,2)&amp;B2</f>
        <v>ADCanillo</v>
      </c>
    </row>
    <row r="3" spans="1:3">
      <c r="A3" t="s">
        <v>5234</v>
      </c>
      <c r="B3" t="s">
        <v>5235</v>
      </c>
      <c r="C3" t="str">
        <f t="shared" ref="C3:C66" si="0">LEFT(A3,2)&amp;B3</f>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si="0"/>
        <v>AFParwān</v>
      </c>
    </row>
    <row r="67" spans="1:3">
      <c r="A67" t="s">
        <v>5306</v>
      </c>
      <c r="B67" t="s">
        <v>5307</v>
      </c>
      <c r="C67" t="str">
        <f t="shared" ref="C67:C130" si="1">LEFT(A67,2)&amp;B67</f>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si="1"/>
        <v>AONamibe</v>
      </c>
    </row>
    <row r="131" spans="1:3">
      <c r="A131" t="s">
        <v>5418</v>
      </c>
      <c r="B131" t="s">
        <v>5419</v>
      </c>
      <c r="C131" t="str">
        <f t="shared" ref="C131:C194" si="2">LEFT(A131,2)&amp;B131</f>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si="2"/>
        <v>AZBiləsuvar</v>
      </c>
    </row>
    <row r="195" spans="1:3">
      <c r="A195" t="s">
        <v>5542</v>
      </c>
      <c r="B195" t="s">
        <v>5543</v>
      </c>
      <c r="C195" t="str">
        <f t="shared" ref="C195:C258" si="3">LEFT(A195,2)&amp;B195</f>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si="3"/>
        <v>BABrčko distrikt</v>
      </c>
    </row>
    <row r="259" spans="1:3">
      <c r="A259" t="s">
        <v>5656</v>
      </c>
      <c r="B259" t="s">
        <v>5657</v>
      </c>
      <c r="C259" t="str">
        <f t="shared" ref="C259:C322" si="4">LEFT(A259,2)&amp;B259</f>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si="4"/>
        <v>BDPabna</v>
      </c>
    </row>
    <row r="323" spans="1:3">
      <c r="A323" t="s">
        <v>5774</v>
      </c>
      <c r="B323" t="s">
        <v>5761</v>
      </c>
      <c r="C323" t="str">
        <f t="shared" ref="C323:C386" si="5">LEFT(A323,2)&amp;B323</f>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si="5"/>
        <v>BFZoundwéogo</v>
      </c>
    </row>
    <row r="387" spans="1:3">
      <c r="A387" t="s">
        <v>5896</v>
      </c>
      <c r="B387" t="s">
        <v>5897</v>
      </c>
      <c r="C387" t="str">
        <f t="shared" ref="C387:C450" si="6">LEFT(A387,2)&amp;B387</f>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si="6"/>
        <v>BIBujumbura Rural</v>
      </c>
    </row>
    <row r="451" spans="1:3">
      <c r="A451" t="s">
        <v>6020</v>
      </c>
      <c r="B451" t="s">
        <v>6021</v>
      </c>
      <c r="C451" t="str">
        <f t="shared" ref="C451:C514" si="7">LEFT(A451,2)&amp;B451</f>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si="7"/>
        <v>BQBonaire</v>
      </c>
    </row>
    <row r="515" spans="1:3">
      <c r="A515" t="s">
        <v>6103</v>
      </c>
      <c r="B515" t="s">
        <v>6105</v>
      </c>
      <c r="C515" t="str">
        <f t="shared" ref="C515:C578" si="8">LEFT(A515,2)&amp;B515</f>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si="8"/>
        <v>BSSpanish Wells</v>
      </c>
    </row>
    <row r="579" spans="1:3">
      <c r="A579" t="s">
        <v>6219</v>
      </c>
      <c r="B579" t="s">
        <v>6220</v>
      </c>
      <c r="C579" t="str">
        <f t="shared" ref="C579:C642" si="9">LEFT(A579,2)&amp;B579</f>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si="9"/>
        <v>BYVitsyebskaya voblasts'</v>
      </c>
    </row>
    <row r="643" spans="1:3">
      <c r="A643" t="s">
        <v>6323</v>
      </c>
      <c r="B643" t="s">
        <v>6326</v>
      </c>
      <c r="C643" t="str">
        <f t="shared" ref="C643:C706" si="10">LEFT(A643,2)&amp;B643</f>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si="10"/>
        <v>CFSangä</v>
      </c>
    </row>
    <row r="707" spans="1:3">
      <c r="A707" t="s">
        <v>6427</v>
      </c>
      <c r="B707" t="s">
        <v>6428</v>
      </c>
      <c r="C707" t="str">
        <f t="shared" ref="C707:C770" si="11">LEFT(A707,2)&amp;B707</f>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si="11"/>
        <v>CHSchaffhausen</v>
      </c>
    </row>
    <row r="771" spans="1:3">
      <c r="A771" t="s">
        <v>6530</v>
      </c>
      <c r="B771" t="s">
        <v>6531</v>
      </c>
      <c r="C771" t="str">
        <f t="shared" ref="C771:C834" si="12">LEFT(A771,2)&amp;B771</f>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si="12"/>
        <v>CNGansu Sheng</v>
      </c>
    </row>
    <row r="835" spans="1:3">
      <c r="A835" t="s">
        <v>6632</v>
      </c>
      <c r="B835" t="s">
        <v>6633</v>
      </c>
      <c r="C835" t="str">
        <f t="shared" ref="C835:C898" si="13">LEFT(A835,2)&amp;B835</f>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si="13"/>
        <v>COVaupés</v>
      </c>
    </row>
    <row r="899" spans="1:3">
      <c r="A899" t="s">
        <v>6739</v>
      </c>
      <c r="B899" t="s">
        <v>6740</v>
      </c>
      <c r="C899" t="str">
        <f t="shared" ref="C899:C962" si="14">LEFT(A899,2)&amp;B899</f>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si="14"/>
        <v>CZBeroun</v>
      </c>
    </row>
    <row r="963" spans="1:3">
      <c r="A963" t="s">
        <v>6858</v>
      </c>
      <c r="B963" t="s">
        <v>6859</v>
      </c>
      <c r="C963" t="str">
        <f t="shared" ref="C963:C1026" si="15">LEFT(A963,2)&amp;B963</f>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si="15"/>
        <v>CZBrno-venkov</v>
      </c>
    </row>
    <row r="1027" spans="1:3">
      <c r="A1027" t="s">
        <v>6985</v>
      </c>
      <c r="B1027" t="s">
        <v>6986</v>
      </c>
      <c r="C1027" t="str">
        <f t="shared" ref="C1027:C1090" si="16">LEFT(A1027,2)&amp;B1027</f>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si="16"/>
        <v>DMSaint Patrick</v>
      </c>
    </row>
    <row r="1091" spans="1:3">
      <c r="A1091" t="s">
        <v>7099</v>
      </c>
      <c r="B1091" t="s">
        <v>5335</v>
      </c>
      <c r="C1091" t="str">
        <f t="shared" ref="C1091:C1154" si="17">LEFT(A1091,2)&amp;B1091</f>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si="17"/>
        <v>DZSaïda</v>
      </c>
    </row>
    <row r="1155" spans="1:3">
      <c r="A1155" t="s">
        <v>7224</v>
      </c>
      <c r="B1155" t="s">
        <v>7225</v>
      </c>
      <c r="C1155" t="str">
        <f t="shared" ref="C1155:C1218" si="18">LEFT(A1155,2)&amp;B1155</f>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si="18"/>
        <v>EELääne-Harju</v>
      </c>
    </row>
    <row r="1219" spans="1:3">
      <c r="A1219" t="s">
        <v>7349</v>
      </c>
      <c r="B1219" t="s">
        <v>7350</v>
      </c>
      <c r="C1219" t="str">
        <f t="shared" ref="C1219:C1282" si="19">LEFT(A1219,2)&amp;B1219</f>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si="19"/>
        <v>EELuunja</v>
      </c>
    </row>
    <row r="1283" spans="1:3">
      <c r="A1283" t="s">
        <v>7472</v>
      </c>
      <c r="B1283" t="s">
        <v>7473</v>
      </c>
      <c r="C1283" t="str">
        <f t="shared" ref="C1283:C1346" si="20">LEFT(A1283,2)&amp;B1283</f>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si="20"/>
        <v>ESJaén</v>
      </c>
    </row>
    <row r="1347" spans="1:3">
      <c r="A1347" t="s">
        <v>7590</v>
      </c>
      <c r="B1347" t="s">
        <v>7591</v>
      </c>
      <c r="C1347" t="str">
        <f t="shared" ref="C1347:C1410" si="21">LEFT(A1347,2)&amp;B1347</f>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si="21"/>
        <v>ESAlicante</v>
      </c>
    </row>
    <row r="1411" spans="1:3">
      <c r="A1411" t="s">
        <v>7705</v>
      </c>
      <c r="B1411" t="s">
        <v>7706</v>
      </c>
      <c r="C1411" t="str">
        <f t="shared" ref="C1411:C1474" si="22">LEFT(A1411,2)&amp;B1411</f>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si="22"/>
        <v>FINyland</v>
      </c>
    </row>
    <row r="1475" spans="1:3">
      <c r="A1475" t="s">
        <v>7802</v>
      </c>
      <c r="B1475" t="s">
        <v>7803</v>
      </c>
      <c r="C1475" t="str">
        <f t="shared" ref="C1475:C1538" si="23">LEFT(A1475,2)&amp;B1475</f>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si="23"/>
        <v>FRHaute-Marne</v>
      </c>
    </row>
    <row r="1539" spans="1:3">
      <c r="A1539" t="s">
        <v>7927</v>
      </c>
      <c r="B1539" t="s">
        <v>7928</v>
      </c>
      <c r="C1539" t="str">
        <f t="shared" ref="C1539:C1602" si="24">LEFT(A1539,2)&amp;B1539</f>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si="24"/>
        <v>FRMaine-et-Loire</v>
      </c>
    </row>
    <row r="1603" spans="1:3">
      <c r="A1603" t="s">
        <v>8051</v>
      </c>
      <c r="B1603" t="s">
        <v>8052</v>
      </c>
      <c r="C1603" t="str">
        <f t="shared" ref="C1603:C1666" si="25">LEFT(A1603,2)&amp;B1603</f>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si="25"/>
        <v>GBBuckinghamshire</v>
      </c>
    </row>
    <row r="1667" spans="1:3">
      <c r="A1667" t="s">
        <v>8179</v>
      </c>
      <c r="B1667" t="s">
        <v>8180</v>
      </c>
      <c r="C1667" t="str">
        <f t="shared" ref="C1667:C1730" si="26">LEFT(A1667,2)&amp;B1667</f>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si="26"/>
        <v>GBGwynedd</v>
      </c>
    </row>
    <row r="1731" spans="1:3">
      <c r="A1731" t="s">
        <v>8307</v>
      </c>
      <c r="B1731" t="s">
        <v>8308</v>
      </c>
      <c r="C1731" t="str">
        <f t="shared" ref="C1731:C1794" si="27">LEFT(A1731,2)&amp;B1731</f>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si="27"/>
        <v>GBLeeds</v>
      </c>
    </row>
    <row r="1795" spans="1:3">
      <c r="A1795" t="s">
        <v>8435</v>
      </c>
      <c r="B1795" t="s">
        <v>8436</v>
      </c>
      <c r="C1795" t="str">
        <f t="shared" ref="C1795:C1858" si="28">LEFT(A1795,2)&amp;B1795</f>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si="28"/>
        <v>GEGuria</v>
      </c>
    </row>
    <row r="1859" spans="1:3">
      <c r="A1859" t="s">
        <v>8556</v>
      </c>
      <c r="B1859" t="s">
        <v>8557</v>
      </c>
      <c r="C1859" t="str">
        <f t="shared" ref="C1859:C1922" si="29">LEFT(A1859,2)&amp;B1859</f>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si="29"/>
        <v>GNKoubia</v>
      </c>
    </row>
    <row r="1923" spans="1:3">
      <c r="A1923" t="s">
        <v>8673</v>
      </c>
      <c r="B1923" t="s">
        <v>8670</v>
      </c>
      <c r="C1923" t="str">
        <f t="shared" ref="C1923:C1986" si="30">LEFT(A1923,2)&amp;B1923</f>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si="30"/>
        <v>GTIzabal</v>
      </c>
    </row>
    <row r="1987" spans="1:3">
      <c r="A1987" t="s">
        <v>8773</v>
      </c>
      <c r="B1987" t="s">
        <v>8774</v>
      </c>
      <c r="C1987" t="str">
        <f t="shared" ref="C1987:C2050" si="31">LEFT(A1987,2)&amp;B1987</f>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si="31"/>
        <v>HRVirovitičko-podravska županija</v>
      </c>
    </row>
    <row r="2051" spans="1:3">
      <c r="A2051" t="s">
        <v>8900</v>
      </c>
      <c r="B2051" t="s">
        <v>8901</v>
      </c>
      <c r="C2051" t="str">
        <f t="shared" ref="C2051:C2114" si="32">LEFT(A2051,2)&amp;B2051</f>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si="32"/>
        <v>HUSzeged</v>
      </c>
    </row>
    <row r="2115" spans="1:3">
      <c r="A2115" t="s">
        <v>9013</v>
      </c>
      <c r="B2115" t="s">
        <v>9014</v>
      </c>
      <c r="C2115" t="str">
        <f t="shared" ref="C2115:C2178" si="33">LEFT(A2115,2)&amp;B2115</f>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si="33"/>
        <v>IELeinster</v>
      </c>
    </row>
    <row r="2179" spans="1:3">
      <c r="A2179" t="s">
        <v>9125</v>
      </c>
      <c r="B2179" t="s">
        <v>9127</v>
      </c>
      <c r="C2179" t="str">
        <f t="shared" ref="C2179:C2242" si="34">LEFT(A2179,2)&amp;B2179</f>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si="34"/>
        <v>INJammu and Kashmīr</v>
      </c>
    </row>
    <row r="2243" spans="1:3">
      <c r="A2243" t="s">
        <v>9221</v>
      </c>
      <c r="B2243" t="s">
        <v>9222</v>
      </c>
      <c r="C2243" t="str">
        <f t="shared" ref="C2243:C2306" si="35">LEFT(A2243,2)&amp;B2243</f>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si="35"/>
        <v>IRSīstān va Balūchestān</v>
      </c>
    </row>
    <row r="2307" spans="1:3">
      <c r="A2307" t="s">
        <v>9337</v>
      </c>
      <c r="B2307" t="s">
        <v>9338</v>
      </c>
      <c r="C2307" t="str">
        <f t="shared" ref="C2307:C2370" si="36">LEFT(A2307,2)&amp;B2307</f>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si="36"/>
        <v>ITForlì-Cesena</v>
      </c>
    </row>
    <row r="2371" spans="1:3">
      <c r="A2371" t="s">
        <v>9464</v>
      </c>
      <c r="B2371" t="s">
        <v>9465</v>
      </c>
      <c r="C2371" t="str">
        <f t="shared" ref="C2371:C2434" si="37">LEFT(A2371,2)&amp;B2371</f>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si="37"/>
        <v>ITReggio Calabria</v>
      </c>
    </row>
    <row r="2435" spans="1:3">
      <c r="A2435" t="s">
        <v>9590</v>
      </c>
      <c r="B2435" t="s">
        <v>9591</v>
      </c>
      <c r="C2435" t="str">
        <f t="shared" ref="C2435:C2498" si="38">LEFT(A2435,2)&amp;B2435</f>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si="38"/>
        <v>JPSaitama</v>
      </c>
    </row>
    <row r="2499" spans="1:3">
      <c r="A2499" t="s">
        <v>9703</v>
      </c>
      <c r="B2499" t="s">
        <v>709</v>
      </c>
      <c r="C2499" t="str">
        <f t="shared" ref="C2499:C2562" si="39">LEFT(A2499,2)&amp;B2499</f>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si="39"/>
        <v>KEHoma Bay</v>
      </c>
    </row>
    <row r="2563" spans="1:3">
      <c r="A2563" t="s">
        <v>9798</v>
      </c>
      <c r="B2563" t="s">
        <v>9799</v>
      </c>
      <c r="C2563" t="str">
        <f t="shared" ref="C2563:C2626" si="40">LEFT(A2563,2)&amp;B2563</f>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si="40"/>
        <v>KGYsyk-Köl</v>
      </c>
    </row>
    <row r="2627" spans="1:3">
      <c r="A2627" t="s">
        <v>9905</v>
      </c>
      <c r="B2627" t="s">
        <v>9907</v>
      </c>
      <c r="C2627" t="str">
        <f t="shared" ref="C2627:C2690" si="41">LEFT(A2627,2)&amp;B2627</f>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si="41"/>
        <v>KMMwali</v>
      </c>
    </row>
    <row r="2691" spans="1:3">
      <c r="A2691" t="s">
        <v>10000</v>
      </c>
      <c r="B2691" t="s">
        <v>10002</v>
      </c>
      <c r="C2691" t="str">
        <f t="shared" ref="C2691:C2754" si="42">LEFT(A2691,2)&amp;B2691</f>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si="42"/>
        <v>KWAl Jahrā’</v>
      </c>
    </row>
    <row r="2755" spans="1:3">
      <c r="A2755" t="s">
        <v>10107</v>
      </c>
      <c r="B2755" t="s">
        <v>6011</v>
      </c>
      <c r="C2755" t="str">
        <f t="shared" ref="C2755:C2818" si="43">LEFT(A2755,2)&amp;B2755</f>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si="43"/>
        <v>LALouang Namtha</v>
      </c>
    </row>
    <row r="2819" spans="1:3">
      <c r="A2819" t="s">
        <v>10190</v>
      </c>
      <c r="B2819" t="s">
        <v>10191</v>
      </c>
      <c r="C2819" t="str">
        <f t="shared" ref="C2819:C2882" si="44">LEFT(A2819,2)&amp;B2819</f>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si="44"/>
        <v>LKMahanuvara</v>
      </c>
    </row>
    <row r="2883" spans="1:3">
      <c r="A2883" t="s">
        <v>10294</v>
      </c>
      <c r="B2883" t="s">
        <v>10297</v>
      </c>
      <c r="C2883" t="str">
        <f t="shared" ref="C2883:C2946" si="45">LEFT(A2883,2)&amp;B2883</f>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si="45"/>
        <v>LKAnurātapuram</v>
      </c>
    </row>
    <row r="2947" spans="1:3">
      <c r="A2947" t="s">
        <v>10382</v>
      </c>
      <c r="B2947" t="s">
        <v>10383</v>
      </c>
      <c r="C2947" t="str">
        <f t="shared" ref="C2947:C3010" si="46">LEFT(A2947,2)&amp;B2947</f>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si="46"/>
        <v>LTTelšių apskritis</v>
      </c>
    </row>
    <row r="3011" spans="1:3">
      <c r="A3011" t="s">
        <v>10474</v>
      </c>
      <c r="B3011" t="s">
        <v>10475</v>
      </c>
      <c r="C3011" t="str">
        <f t="shared" ref="C3011:C3074" si="47">LEFT(A3011,2)&amp;B3011</f>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si="47"/>
        <v>LUCapellen</v>
      </c>
    </row>
    <row r="3075" spans="1:3">
      <c r="A3075" t="s">
        <v>10597</v>
      </c>
      <c r="B3075" t="s">
        <v>10599</v>
      </c>
      <c r="C3075" t="str">
        <f t="shared" ref="C3075:C3138" si="48">LEFT(A3075,2)&amp;B3075</f>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si="48"/>
        <v>LVĒrgļu novads</v>
      </c>
    </row>
    <row r="3139" spans="1:3">
      <c r="A3139" t="s">
        <v>10696</v>
      </c>
      <c r="B3139" t="s">
        <v>10697</v>
      </c>
      <c r="C3139" t="str">
        <f t="shared" ref="C3139:C3202" si="49">LEFT(A3139,2)&amp;B3139</f>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si="49"/>
        <v>LVSmiltenes novads</v>
      </c>
    </row>
    <row r="3203" spans="1:3">
      <c r="A3203" t="s">
        <v>10824</v>
      </c>
      <c r="B3203" t="s">
        <v>10825</v>
      </c>
      <c r="C3203" t="str">
        <f t="shared" ref="C3203:C3266" si="50">LEFT(A3203,2)&amp;B3203</f>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si="50"/>
        <v>MANador</v>
      </c>
    </row>
    <row r="3267" spans="1:3">
      <c r="A3267" t="s">
        <v>10952</v>
      </c>
      <c r="B3267" t="s">
        <v>10953</v>
      </c>
      <c r="C3267" t="str">
        <f t="shared" ref="C3267:C3330" si="51">LEFT(A3267,2)&amp;B3267</f>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si="51"/>
        <v>MABoujdour (EH)</v>
      </c>
    </row>
    <row r="3331" spans="1:3">
      <c r="A3331" t="s">
        <v>11080</v>
      </c>
      <c r="B3331" t="s">
        <v>11081</v>
      </c>
      <c r="C3331" t="str">
        <f t="shared" ref="C3331:C3394" si="52">LEFT(A3331,2)&amp;B3331</f>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si="52"/>
        <v>MEBijelo Polje</v>
      </c>
    </row>
    <row r="3395" spans="1:3">
      <c r="A3395" t="s">
        <v>11208</v>
      </c>
      <c r="B3395" t="s">
        <v>11209</v>
      </c>
      <c r="C3395" t="str">
        <f t="shared" ref="C3395:C3458" si="53">LEFT(A3395,2)&amp;B3395</f>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si="53"/>
        <v>MHAur</v>
      </c>
    </row>
    <row r="3459" spans="1:3">
      <c r="A3459" t="s">
        <v>11312</v>
      </c>
      <c r="B3459" t="s">
        <v>11313</v>
      </c>
      <c r="C3459" t="str">
        <f t="shared" ref="C3459:C3522" si="54">LEFT(A3459,2)&amp;B3459</f>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si="54"/>
        <v>MKBrvenica</v>
      </c>
    </row>
    <row r="3523" spans="1:3">
      <c r="A3523" t="s">
        <v>11432</v>
      </c>
      <c r="B3523" t="s">
        <v>11433</v>
      </c>
      <c r="C3523" t="str">
        <f t="shared" ref="C3523:C3586" si="55">LEFT(A3523,2)&amp;B3523</f>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si="55"/>
        <v>MNSelenge</v>
      </c>
    </row>
    <row r="3587" spans="1:3">
      <c r="A3587" t="s">
        <v>11559</v>
      </c>
      <c r="B3587" t="s">
        <v>11560</v>
      </c>
      <c r="C3587" t="str">
        <f t="shared" ref="C3587:C3650" si="56">LEFT(A3587,2)&amp;B3587</f>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si="56"/>
        <v>MTGħasri</v>
      </c>
    </row>
    <row r="3651" spans="1:3">
      <c r="A3651" t="s">
        <v>11650</v>
      </c>
      <c r="B3651" t="s">
        <v>11651</v>
      </c>
      <c r="C3651" t="str">
        <f t="shared" ref="C3651:C3714" si="57">LEFT(A3651,2)&amp;B3651</f>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si="57"/>
        <v>MTSan Ġiljan</v>
      </c>
    </row>
    <row r="3715" spans="1:3">
      <c r="A3715" t="s">
        <v>11715</v>
      </c>
      <c r="B3715" t="s">
        <v>5331</v>
      </c>
      <c r="C3715" t="str">
        <f t="shared" ref="C3715:C3778" si="58">LEFT(A3715,2)&amp;B3715</f>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si="58"/>
        <v>MVFelidheatholhu</v>
      </c>
    </row>
    <row r="3779" spans="1:3">
      <c r="A3779" t="s">
        <v>11800</v>
      </c>
      <c r="B3779" t="s">
        <v>11802</v>
      </c>
      <c r="C3779" t="str">
        <f t="shared" ref="C3779:C3842" si="59">LEFT(A3779,2)&amp;B3779</f>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si="59"/>
        <v>MWMzimba</v>
      </c>
    </row>
    <row r="3843" spans="1:3">
      <c r="A3843" t="s">
        <v>11880</v>
      </c>
      <c r="B3843" t="s">
        <v>11881</v>
      </c>
      <c r="C3843" t="str">
        <f t="shared" ref="C3843:C3906" si="60">LEFT(A3843,2)&amp;B3843</f>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si="60"/>
        <v>MXZacatecas</v>
      </c>
    </row>
    <row r="3907" spans="1:3">
      <c r="A3907" t="s">
        <v>11974</v>
      </c>
      <c r="B3907" t="s">
        <v>11975</v>
      </c>
      <c r="C3907" t="str">
        <f t="shared" ref="C3907:C3970" si="61">LEFT(A3907,2)&amp;B3907</f>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si="61"/>
        <v>NGEnugu</v>
      </c>
    </row>
    <row r="3971" spans="1:3">
      <c r="A3971" t="s">
        <v>12099</v>
      </c>
      <c r="B3971" t="s">
        <v>12100</v>
      </c>
      <c r="C3971" t="str">
        <f t="shared" ref="C3971:C4034" si="62">LEFT(A3971,2)&amp;B3971</f>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si="62"/>
        <v>NOInnlandet</v>
      </c>
    </row>
    <row r="4035" spans="1:3">
      <c r="A4035" t="s">
        <v>12221</v>
      </c>
      <c r="B4035" t="s">
        <v>12222</v>
      </c>
      <c r="C4035" t="str">
        <f t="shared" ref="C4035:C4098" si="63">LEFT(A4035,2)&amp;B4035</f>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si="63"/>
        <v>NRIjuw</v>
      </c>
    </row>
    <row r="4099" spans="1:3">
      <c r="A4099" t="s">
        <v>12310</v>
      </c>
      <c r="B4099" t="s">
        <v>12311</v>
      </c>
      <c r="C4099" t="str">
        <f t="shared" ref="C4099:C4162" si="64">LEFT(A4099,2)&amp;B4099</f>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si="64"/>
        <v>PAVeraguas</v>
      </c>
    </row>
    <row r="4163" spans="1:3">
      <c r="A4163" t="s">
        <v>12413</v>
      </c>
      <c r="B4163" t="s">
        <v>12414</v>
      </c>
      <c r="C4163" t="str">
        <f t="shared" ref="C4163:C4226" si="65">LEFT(A4163,2)&amp;B4163</f>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si="65"/>
        <v>PESan Martín</v>
      </c>
    </row>
    <row r="4227" spans="1:3">
      <c r="A4227" t="s">
        <v>12483</v>
      </c>
      <c r="B4227" t="s">
        <v>12485</v>
      </c>
      <c r="C4227" t="str">
        <f t="shared" ref="C4227:C4290" si="66">LEFT(A4227,2)&amp;B4227</f>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si="66"/>
        <v>PHAurora</v>
      </c>
    </row>
    <row r="4291" spans="1:3">
      <c r="A4291" t="s">
        <v>12579</v>
      </c>
      <c r="B4291" t="s">
        <v>12580</v>
      </c>
      <c r="C4291" t="str">
        <f t="shared" ref="C4291:C4354" si="67">LEFT(A4291,2)&amp;B4291</f>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si="67"/>
        <v>PHSamar</v>
      </c>
    </row>
    <row r="4355" spans="1:3">
      <c r="A4355" t="s">
        <v>12663</v>
      </c>
      <c r="B4355" t="s">
        <v>12664</v>
      </c>
      <c r="C4355" t="str">
        <f t="shared" ref="C4355:C4418" si="68">LEFT(A4355,2)&amp;B4355</f>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si="68"/>
        <v>PHSulu</v>
      </c>
    </row>
    <row r="4419" spans="1:3">
      <c r="A4419" t="s">
        <v>12754</v>
      </c>
      <c r="B4419" t="s">
        <v>12755</v>
      </c>
      <c r="C4419" t="str">
        <f t="shared" ref="C4419:C4482" si="69">LEFT(A4419,2)&amp;B4419</f>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si="69"/>
        <v>PLPodlaskie</v>
      </c>
    </row>
    <row r="4483" spans="1:3">
      <c r="A4483" t="s">
        <v>12842</v>
      </c>
      <c r="B4483" t="s">
        <v>12843</v>
      </c>
      <c r="C4483" t="str">
        <f t="shared" ref="C4483:C4546" si="70">LEFT(A4483,2)&amp;B4483</f>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si="70"/>
        <v>PWAngaur</v>
      </c>
    </row>
    <row r="4547" spans="1:3">
      <c r="A4547" t="s">
        <v>12945</v>
      </c>
      <c r="B4547" t="s">
        <v>12946</v>
      </c>
      <c r="C4547" t="str">
        <f t="shared" ref="C4547:C4610" si="71">LEFT(A4547,2)&amp;B4547</f>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si="71"/>
        <v>ROCălărași</v>
      </c>
    </row>
    <row r="4611" spans="1:3">
      <c r="A4611" t="s">
        <v>13044</v>
      </c>
      <c r="B4611" t="s">
        <v>13045</v>
      </c>
      <c r="C4611" t="str">
        <f t="shared" ref="C4611:C4674" si="72">LEFT(A4611,2)&amp;B4611</f>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si="72"/>
        <v>RUAmurskaja oblast'</v>
      </c>
    </row>
    <row r="4675" spans="1:3">
      <c r="A4675" t="s">
        <v>13171</v>
      </c>
      <c r="B4675" t="s">
        <v>13172</v>
      </c>
      <c r="C4675" t="str">
        <f t="shared" ref="C4675:C4738" si="73">LEFT(A4675,2)&amp;B4675</f>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si="73"/>
        <v>RUSaratovskaja oblast'</v>
      </c>
    </row>
    <row r="4739" spans="1:3">
      <c r="A4739" t="s">
        <v>13261</v>
      </c>
      <c r="B4739" t="s">
        <v>13262</v>
      </c>
      <c r="C4739" t="str">
        <f t="shared" ref="C4739:C4802" si="74">LEFT(A4739,2)&amp;B4739</f>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si="74"/>
        <v>RUBashkortostan, Respublika</v>
      </c>
    </row>
    <row r="4803" spans="1:3">
      <c r="A4803" t="s">
        <v>13351</v>
      </c>
      <c r="B4803" t="s">
        <v>13352</v>
      </c>
      <c r="C4803" t="str">
        <f t="shared" ref="C4803:C4866" si="75">LEFT(A4803,2)&amp;B4803</f>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si="75"/>
        <v>SA'Asīr</v>
      </c>
    </row>
    <row r="4867" spans="1:3">
      <c r="A4867" t="s">
        <v>13435</v>
      </c>
      <c r="B4867" t="s">
        <v>6264</v>
      </c>
      <c r="C4867" t="str">
        <f t="shared" ref="C4867:C4930" si="76">LEFT(A4867,2)&amp;B4867</f>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si="76"/>
        <v>SCMont Fleuri</v>
      </c>
    </row>
    <row r="4931" spans="1:3">
      <c r="A4931" t="s">
        <v>13511</v>
      </c>
      <c r="B4931" t="s">
        <v>13512</v>
      </c>
      <c r="C4931" t="str">
        <f t="shared" ref="C4931:C4994" si="77">LEFT(A4931,2)&amp;B4931</f>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si="77"/>
        <v>SEJönköpings län [SE-06]</v>
      </c>
    </row>
    <row r="4995" spans="1:3">
      <c r="A4995" t="s">
        <v>13597</v>
      </c>
      <c r="B4995" t="s">
        <v>13598</v>
      </c>
      <c r="C4995" t="str">
        <f t="shared" ref="C4995:C5058" si="78">LEFT(A4995,2)&amp;B4995</f>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si="78"/>
        <v>SIJuršinci</v>
      </c>
    </row>
    <row r="5059" spans="1:3">
      <c r="A5059" t="s">
        <v>13721</v>
      </c>
      <c r="B5059" t="s">
        <v>13722</v>
      </c>
      <c r="C5059" t="str">
        <f t="shared" ref="C5059:C5122" si="79">LEFT(A5059,2)&amp;B5059</f>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si="79"/>
        <v>SIRogaška Slatina</v>
      </c>
    </row>
    <row r="5123" spans="1:3">
      <c r="A5123" t="s">
        <v>13849</v>
      </c>
      <c r="B5123" t="s">
        <v>13850</v>
      </c>
      <c r="C5123" t="str">
        <f t="shared" ref="C5123:C5186" si="80">LEFT(A5123,2)&amp;B5123</f>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si="80"/>
        <v>SIOplotnica</v>
      </c>
    </row>
    <row r="5187" spans="1:3">
      <c r="A5187" t="s">
        <v>13977</v>
      </c>
      <c r="B5187" t="s">
        <v>13978</v>
      </c>
      <c r="C5187" t="str">
        <f t="shared" ref="C5187:C5250" si="81">LEFT(A5187,2)&amp;B5187</f>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si="81"/>
        <v>SMSerravalle</v>
      </c>
    </row>
    <row r="5251" spans="1:3">
      <c r="A5251" t="s">
        <v>14102</v>
      </c>
      <c r="B5251" t="s">
        <v>14103</v>
      </c>
      <c r="C5251" t="str">
        <f t="shared" ref="C5251:C5314" si="82">LEFT(A5251,2)&amp;B5251</f>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si="82"/>
        <v>SVSonsonate</v>
      </c>
    </row>
    <row r="5315" spans="1:3">
      <c r="A5315" t="s">
        <v>14226</v>
      </c>
      <c r="B5315" t="s">
        <v>6216</v>
      </c>
      <c r="C5315" t="str">
        <f t="shared" ref="C5315:C5378" si="83">LEFT(A5315,2)&amp;B5315</f>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si="83"/>
        <v>TDSila</v>
      </c>
    </row>
    <row r="5379" spans="1:3">
      <c r="A5379" t="s">
        <v>14326</v>
      </c>
      <c r="B5379" t="s">
        <v>14327</v>
      </c>
      <c r="C5379" t="str">
        <f t="shared" ref="C5379:C5442" si="84">LEFT(A5379,2)&amp;B5379</f>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si="84"/>
        <v>THPhitsanulok</v>
      </c>
    </row>
    <row r="5443" spans="1:3">
      <c r="A5443" t="s">
        <v>14446</v>
      </c>
      <c r="B5443" t="s">
        <v>14447</v>
      </c>
      <c r="C5443" t="str">
        <f t="shared" ref="C5443:C5506" si="85">LEFT(A5443,2)&amp;B5443</f>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si="85"/>
        <v>TNL'Ariana</v>
      </c>
    </row>
    <row r="5507" spans="1:3">
      <c r="A5507" t="s">
        <v>14556</v>
      </c>
      <c r="B5507" t="s">
        <v>14557</v>
      </c>
      <c r="C5507" t="str">
        <f t="shared" ref="C5507:C5570" si="86">LEFT(A5507,2)&amp;B5507</f>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si="86"/>
        <v>TRIsparta</v>
      </c>
    </row>
    <row r="5571" spans="1:3">
      <c r="A5571" t="s">
        <v>14674</v>
      </c>
      <c r="B5571" t="s">
        <v>14675</v>
      </c>
      <c r="C5571" t="str">
        <f t="shared" ref="C5571:C5634" si="87">LEFT(A5571,2)&amp;B5571</f>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si="87"/>
        <v>TTTobago</v>
      </c>
    </row>
    <row r="5635" spans="1:3">
      <c r="A5635" t="s">
        <v>14801</v>
      </c>
      <c r="B5635" t="s">
        <v>14802</v>
      </c>
      <c r="C5635" t="str">
        <f t="shared" ref="C5635:C5698" si="88">LEFT(A5635,2)&amp;B5635</f>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si="88"/>
        <v>TZKatavi</v>
      </c>
    </row>
    <row r="5699" spans="1:3">
      <c r="A5699" t="s">
        <v>14917</v>
      </c>
      <c r="B5699" t="s">
        <v>14918</v>
      </c>
      <c r="C5699" t="str">
        <f t="shared" ref="C5699:C5762" si="89">LEFT(A5699,2)&amp;B5699</f>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si="89"/>
        <v>UGKamuli</v>
      </c>
    </row>
    <row r="5763" spans="1:3">
      <c r="A5763" t="s">
        <v>15039</v>
      </c>
      <c r="B5763" t="s">
        <v>15040</v>
      </c>
      <c r="C5763" t="str">
        <f t="shared" ref="C5763:C5826" si="90">LEFT(A5763,2)&amp;B5763</f>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si="90"/>
        <v>UGPakwach</v>
      </c>
    </row>
    <row r="5827" spans="1:3">
      <c r="A5827" t="s">
        <v>15166</v>
      </c>
      <c r="B5827" t="s">
        <v>15167</v>
      </c>
      <c r="C5827" t="str">
        <f t="shared" ref="C5827:C5890" si="91">LEFT(A5827,2)&amp;B5827</f>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si="91"/>
        <v>USIdaho</v>
      </c>
    </row>
    <row r="5891" spans="1:3">
      <c r="A5891" t="s">
        <v>15292</v>
      </c>
      <c r="B5891" t="s">
        <v>15293</v>
      </c>
      <c r="C5891" t="str">
        <f t="shared" ref="C5891:C5954" si="92">LEFT(A5891,2)&amp;B5891</f>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si="92"/>
        <v>UZSamarqand</v>
      </c>
    </row>
    <row r="5955" spans="1:3">
      <c r="A5955" t="s">
        <v>15404</v>
      </c>
      <c r="B5955" t="s">
        <v>15405</v>
      </c>
      <c r="C5955" t="str">
        <f t="shared" ref="C5955:C6018" si="93">LEFT(A5955,2)&amp;B5955</f>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si="93"/>
        <v>VNLâm Đồng</v>
      </c>
    </row>
    <row r="6019" spans="1:3">
      <c r="A6019" t="s">
        <v>15519</v>
      </c>
      <c r="B6019" t="s">
        <v>15520</v>
      </c>
      <c r="C6019" t="str">
        <f t="shared" ref="C6019:C6082" si="94">LEFT(A6019,2)&amp;B6019</f>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si="94"/>
        <v>WSPalauli</v>
      </c>
    </row>
    <row r="6083" spans="1:3">
      <c r="A6083" t="s">
        <v>15618</v>
      </c>
      <c r="B6083" t="s">
        <v>15619</v>
      </c>
      <c r="C6083" t="str">
        <f t="shared" ref="C6083:C6146" si="95">LEFT(A6083,2)&amp;B6083</f>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si="95"/>
        <v>ZAKwazulu-Natal</v>
      </c>
    </row>
    <row r="6147" spans="1:3">
      <c r="A6147" t="s">
        <v>15695</v>
      </c>
      <c r="B6147" t="s">
        <v>15698</v>
      </c>
      <c r="C6147" t="str">
        <f t="shared" ref="C6147:C6210" si="96">LEFT(A6147,2)&amp;B6147</f>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si="96"/>
        <v>ZMLuapula</v>
      </c>
    </row>
    <row r="6211" spans="1:3">
      <c r="A6211" t="s">
        <v>15745</v>
      </c>
      <c r="B6211" t="s">
        <v>7827</v>
      </c>
      <c r="C6211" t="str">
        <f t="shared" ref="C6211:C6226" si="97">LEFT(A6211,2)&amp;B6211</f>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B85E2E4-5D50-4728-A7D1-7FF8955BC2A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99</v>
      </c>
    </row>
    <row r="2" spans="1:2" ht="30">
      <c r="A2" s="99" t="str">
        <f ca="1">OFFSET(L!$C$1,MATCH("Instructions"&amp;ADDRESS(ROW(),COLUMN(),4),L!$A:$A,0)-1,SL,,)</f>
        <v>Introduction</v>
      </c>
      <c r="B2" s="94" t="s">
        <v>100</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101</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102</v>
      </c>
    </row>
    <row r="5" spans="1:2" ht="15">
      <c r="A5" s="100"/>
      <c r="B5" s="94"/>
    </row>
    <row r="6" spans="1:2" ht="30">
      <c r="A6" s="99" t="str">
        <f ca="1">OFFSET(L!$C$1,MATCH("Instructions"&amp;ADDRESS(ROW(),COLUMN(),4),L!$A:$A,0)-1,SL,,)</f>
        <v>Instructions for completing Company Information questions (rows 8 - 22).
Provide comments in ENGLISH only</v>
      </c>
      <c r="B6" s="94" t="s">
        <v>100</v>
      </c>
    </row>
    <row r="7" spans="1:2" ht="15">
      <c r="A7" s="229"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99</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100</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100</v>
      </c>
    </row>
    <row r="22" spans="1:2" ht="15">
      <c r="A22" s="100"/>
      <c r="B22" s="94"/>
    </row>
    <row r="23" spans="1:2" ht="30">
      <c r="A23" s="99" t="str">
        <f ca="1">OFFSET(L!$C$1,MATCH("Instructions"&amp;ADDRESS(ROW(),COLUMN(),4),L!$A:$A,0)-1,SL,,)</f>
        <v>Instructions for completing the eight Due Diligence Questions (rows 24 - 71).
Provide answers in ENGLISH only</v>
      </c>
      <c r="B23" s="94" t="s">
        <v>100</v>
      </c>
    </row>
    <row r="24" spans="1:2" ht="80.650000000000006"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103</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100</v>
      </c>
    </row>
    <row r="26" spans="1:2" ht="280.89999999999998"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100</v>
      </c>
    </row>
    <row r="27" spans="1:2" ht="30">
      <c r="A27" s="96" t="str">
        <f ca="1">OFFSET(L!$C$1,MATCH("Instructions"&amp;ADDRESS(ROW(),COLUMN(),4),L!$A:$A,0)-1,SL,,)</f>
        <v>Some companies may require substantiation for a "No" answer that should be entered into the Comment Field.</v>
      </c>
      <c r="B27" s="94" t="s">
        <v>100</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1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100</v>
      </c>
    </row>
    <row r="30" spans="1:2" ht="181.9"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100</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103</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100</v>
      </c>
    </row>
    <row r="35" spans="1:2" ht="21" customHeight="1">
      <c r="A35" s="96" t="str">
        <f ca="1">OFFSET(L!$C$1,MATCH("Instructions"&amp;ADDRESS(ROW(),COLUMN(),4),L!$A:$A,0)-1,SL,,)</f>
        <v>Provide comments in the Comment sections as required to clarify your responses.</v>
      </c>
      <c r="B35" s="94"/>
    </row>
    <row r="36" spans="1:2" ht="15">
      <c r="A36" s="100"/>
      <c r="B36" s="94"/>
    </row>
    <row r="37" spans="1:2" ht="45">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100</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104</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650000000000006"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105</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103</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106</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100</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101</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100</v>
      </c>
    </row>
    <row r="47" spans="1:2" ht="15">
      <c r="A47" s="100"/>
      <c r="B47" s="94"/>
    </row>
    <row r="48" spans="1:2" ht="30">
      <c r="A48" s="99" t="str">
        <f ca="1">OFFSET(L!$C$1,MATCH("Instructions"&amp;ADDRESS(ROW(),COLUMN(),4),L!$A:$A,0)-1,SL,,)</f>
        <v>Instructions for completing the Smelter List Tab.
Provide answers in ENGLISH only</v>
      </c>
      <c r="B48" s="94" t="s">
        <v>100</v>
      </c>
    </row>
    <row r="49" spans="1:2" ht="22.5" customHeight="1">
      <c r="A49" s="229"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99</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100</v>
      </c>
    </row>
    <row r="52" spans="1:2" ht="44.65" customHeight="1">
      <c r="A52" s="96" t="str">
        <f ca="1">OFFSET(L!$C$1,MATCH("Instructions"&amp;ADDRESS(ROW(),COLUMN(),4),L!$A:$A,0)-1,SL,,)</f>
        <v>2. Metal (*)   -   Use the pull down menu to select the metal for which you are entering smelter information.  This field is mandatory.</v>
      </c>
      <c r="B52" s="94"/>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100</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99</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105</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99</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99</v>
      </c>
    </row>
    <row r="58" spans="1:2" ht="60">
      <c r="A58" s="96" t="str">
        <f ca="1">OFFSET(L!$C$1,MATCH("Instructions"&amp;ADDRESS(ROW(),COLUMN(),4),L!$A:$A,0)-1,SL,,)</f>
        <v>8. Smelter Street -  Provide the street name on which the smelter is located. This field is optional.</v>
      </c>
      <c r="B58" s="94" t="s">
        <v>99</v>
      </c>
    </row>
    <row r="59" spans="1:2" ht="30">
      <c r="A59" s="96" t="str">
        <f ca="1">OFFSET(L!$C$1,MATCH("Instructions"&amp;ADDRESS(ROW(),COLUMN(),4),L!$A:$A,0)-1,SL,,)</f>
        <v>9. Smelter City – Provide the city name of where the smelter is located. This field is optional.</v>
      </c>
      <c r="B59" s="94" t="s">
        <v>100</v>
      </c>
    </row>
    <row r="60" spans="1:2" ht="45" customHeight="1">
      <c r="A60" s="96" t="str">
        <f ca="1">OFFSET(L!$C$1,MATCH("Instructions"&amp;ADDRESS(ROW(),COLUMN(),4),L!$A:$A,0)-1,SL,,)</f>
        <v>10. Smelter Location: State/Province, if applicable – Provide the state or province where the smelter is located. This field is optional.</v>
      </c>
      <c r="B60" s="94" t="s">
        <v>103</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103</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99</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99</v>
      </c>
    </row>
    <row r="64" spans="1:2" ht="136.1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1"/>
      <c r="B67" s="94"/>
    </row>
    <row r="68" spans="1:2" ht="34.5" customHeight="1">
      <c r="A68" s="99" t="str">
        <f ca="1">OFFSET(L!$C$1,MATCH("Instructions"&amp;ADDRESS(ROW(),COLUMN(),4),L!$A:$A,0)-1,SL,,)</f>
        <v>TERMS AND CONDITIONS</v>
      </c>
      <c r="B68" s="94"/>
    </row>
    <row r="69" spans="1:2" ht="15">
      <c r="A69" s="101"/>
      <c r="B69" s="94"/>
    </row>
    <row r="70" spans="1:2" ht="80.650000000000006"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100</v>
      </c>
    </row>
    <row r="71" spans="1:2" ht="93.6"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107</v>
      </c>
    </row>
    <row r="72" spans="1:2" ht="155.44999999999999"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106</v>
      </c>
    </row>
    <row r="73" spans="1:2" ht="75">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105</v>
      </c>
    </row>
    <row r="74" spans="1:2" ht="30">
      <c r="A74" s="96"/>
      <c r="B74" s="94" t="s">
        <v>100</v>
      </c>
    </row>
    <row r="75" spans="1:2" ht="15">
      <c r="A75" s="96" t="str">
        <f ca="1">OFFSET(L!$C$1,MATCH("General"&amp;"Cpy",L!$A:$A,0)-1,SL,,)</f>
        <v>© 2023 Responsible Minerals Initiative. All rights reserved.</v>
      </c>
      <c r="B75" s="95"/>
    </row>
    <row r="76" spans="1:2" ht="15">
      <c r="A76" s="97" t="s">
        <v>108</v>
      </c>
      <c r="B76" s="95"/>
    </row>
    <row r="77" spans="1:2" ht="15.75" thickBot="1">
      <c r="A77" s="133"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68"/>
      <c r="B2" s="131" t="str">
        <f ca="1">OFFSET(L!$C$1,MATCH("Definitions"&amp;ADDRESS(ROW(),COLUMN(),4),L!$A:$A,0)-1,SL,,)</f>
        <v>ITEM</v>
      </c>
      <c r="C2" s="131" t="str">
        <f ca="1">OFFSET(L!$C$1,MATCH("Definitions"&amp;ADDRESS(ROW(),COLUMN(),4),L!$A:$A,0)-1,SL,,)</f>
        <v>DEFINITION</v>
      </c>
      <c r="D2" s="321"/>
      <c r="E2" s="95"/>
    </row>
    <row r="3" spans="1:5" ht="64.150000000000006" customHeight="1">
      <c r="A3" s="68"/>
      <c r="B3" s="59" t="str">
        <f ca="1">OFFSET(L!$C$1,MATCH("Definitions"&amp;ADDRESS(ROW(),COLUMN(),4),L!$A:$A,0)-1,SL,,)</f>
        <v>3TG</v>
      </c>
      <c r="C3" s="59" t="str">
        <f ca="1">OFFSET(L!$C$1,MATCH("Definitions"&amp;ADDRESS(ROW(),COLUMN(),4),L!$A:$A,0)-1,SL,,)</f>
        <v>Tantalum, tin, tungsten, gold</v>
      </c>
      <c r="D3" s="321"/>
      <c r="E3" s="94" t="s">
        <v>103</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94"/>
    </row>
    <row r="6" spans="1:5" ht="151.1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94" t="s">
        <v>99</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94" t="s">
        <v>99</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94" t="s">
        <v>104</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1"/>
      <c r="E9" s="94" t="s">
        <v>99</v>
      </c>
    </row>
    <row r="10" spans="1:5" ht="45">
      <c r="A10" s="68"/>
      <c r="B10" s="59" t="str">
        <f ca="1">OFFSET(L!$C$1,MATCH("Definitions"&amp;ADDRESS(ROW(),COLUMN(),4),L!$A:$A,0)-1,SL,,)</f>
        <v>DRC</v>
      </c>
      <c r="C10" s="59" t="str">
        <f ca="1">OFFSET(L!$C$1,MATCH("Definitions"&amp;ADDRESS(ROW(),COLUMN(),4),L!$A:$A,0)-1,SL,,)</f>
        <v>Democratic Republic of Congo</v>
      </c>
      <c r="D10" s="321"/>
      <c r="E10" s="94" t="s">
        <v>103</v>
      </c>
    </row>
    <row r="11" spans="1:5" ht="60"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94" t="s">
        <v>103</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94" t="s">
        <v>103</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94" t="s">
        <v>105</v>
      </c>
    </row>
    <row r="14" spans="1:5" ht="300">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94" t="s">
        <v>103</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94" t="s">
        <v>103</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94" t="s">
        <v>103</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94" t="s">
        <v>103</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94" t="s">
        <v>103</v>
      </c>
    </row>
    <row r="19" spans="1:5" ht="15">
      <c r="A19" s="68"/>
      <c r="B19" s="59" t="str">
        <f ca="1">OFFSET(L!$C$1,MATCH("Definitions"&amp;ADDRESS(ROW(),COLUMN(),4),L!$A:$A,0)-1,SL,,)</f>
        <v>OECD</v>
      </c>
      <c r="C19" s="59" t="str">
        <f ca="1">OFFSET(L!$C$1,MATCH("Definitions"&amp;ADDRESS(ROW(),COLUMN(),4),L!$A:$A,0)-1,SL,,)</f>
        <v>Organisation for Economic Co-operation and Development</v>
      </c>
      <c r="D19" s="321"/>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1"/>
      <c r="E20" s="94"/>
    </row>
    <row r="21" spans="1:5" ht="15">
      <c r="A21" s="68"/>
      <c r="B21" s="59" t="str">
        <f ca="1">OFFSET(L!$C$1,MATCH("Definitions"&amp;ADDRESS(ROW(),COLUMN(),4),L!$A:$A,0)-1,SL,,)</f>
        <v>RBA</v>
      </c>
      <c r="C21" s="59" t="str">
        <f ca="1">OFFSET(L!$C$1,MATCH("Definitions"&amp;ADDRESS(ROW(),COLUMN(),4),L!$A:$A,0)-1,SL,,)</f>
        <v>Responsible Business Alliance (www.responsiblebusiness.org)</v>
      </c>
      <c r="D21" s="321"/>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94" t="s">
        <v>103</v>
      </c>
    </row>
    <row r="26" spans="1:5" ht="75">
      <c r="A26" s="68"/>
      <c r="B26" s="59" t="str">
        <f ca="1">OFFSET(L!$C$1,MATCH("Definitions"&amp;ADDRESS(ROW(),COLUMN(),4),L!$A:$A,0)-1,SL,,)</f>
        <v>SEC</v>
      </c>
      <c r="C26" s="59" t="str">
        <f ca="1">OFFSET(L!$C$1,MATCH("Definitions"&amp;ADDRESS(ROW(),COLUMN(),4),L!$A:$A,0)-1,SL,,)</f>
        <v>U.S. Securities and Exchange Commission (www.sec.gov)</v>
      </c>
      <c r="D26" s="321"/>
      <c r="E26" s="94" t="s">
        <v>105</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94" t="s">
        <v>103</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94" t="s">
        <v>99</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94" t="s">
        <v>105</v>
      </c>
    </row>
    <row r="30" spans="1:5" ht="151.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94" t="s">
        <v>110</v>
      </c>
    </row>
    <row r="31" spans="1:5" ht="136.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94"/>
    </row>
    <row r="32" spans="1:5" ht="15">
      <c r="A32" s="68"/>
      <c r="B32" s="320" t="str">
        <f ca="1">OFFSET(L!$C$1,MATCH("General"&amp;"Cpy",L!$A:$A,0)-1,SL,,)</f>
        <v>© 2023 Responsible Minerals Initiative. All rights reserved.</v>
      </c>
      <c r="C32" s="320"/>
      <c r="D32" s="321"/>
      <c r="E32" s="94"/>
    </row>
    <row r="33" spans="1:4" ht="13.5" thickBot="1">
      <c r="A33" s="69"/>
      <c r="B33" s="146"/>
      <c r="C33" s="146"/>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94"/>
      <c r="P1" s="1"/>
      <c r="Q1" s="1"/>
      <c r="R1" s="1"/>
      <c r="S1" s="1"/>
      <c r="T1" s="1"/>
      <c r="U1" s="1"/>
      <c r="V1" s="1"/>
      <c r="W1" s="1"/>
      <c r="X1" s="1"/>
      <c r="Y1" s="1"/>
      <c r="Z1" s="1"/>
      <c r="AA1" s="1"/>
      <c r="AB1" s="1"/>
      <c r="AC1" s="1"/>
      <c r="AD1" s="1"/>
      <c r="AE1" s="1"/>
      <c r="AF1" s="1"/>
      <c r="AG1" s="1"/>
      <c r="AH1" s="1"/>
    </row>
    <row r="2" spans="1:34" ht="82.35" customHeight="1">
      <c r="A2" s="30"/>
      <c r="B2" s="130"/>
      <c r="C2" s="31"/>
      <c r="D2" s="344" t="str">
        <f ca="1">OFFSET(L!$C$1,MATCH("Declaration"&amp;ADDRESS(ROW(),COLUMN(),4),L!$A:$A,0)-1,SL,,)</f>
        <v>Conflict Minerals Reporting Template (CMRT)</v>
      </c>
      <c r="E2" s="345"/>
      <c r="F2" s="345"/>
      <c r="G2" s="345"/>
      <c r="H2" s="345"/>
      <c r="I2" s="345"/>
      <c r="J2" s="346"/>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111</v>
      </c>
      <c r="C3" s="13"/>
      <c r="D3" s="33" t="s">
        <v>112</v>
      </c>
      <c r="E3" s="1"/>
      <c r="F3" s="357"/>
      <c r="G3" s="357"/>
      <c r="H3" s="357"/>
      <c r="I3" s="145"/>
      <c r="J3" s="132" t="s">
        <v>113</v>
      </c>
      <c r="K3" s="32"/>
      <c r="L3" s="94"/>
      <c r="P3" s="41">
        <f>MATCH($D$3,LN,0)</f>
        <v>1</v>
      </c>
    </row>
    <row r="4" spans="1:34" ht="15.75">
      <c r="A4" s="30"/>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2"/>
      <c r="L4" s="109"/>
      <c r="P4" s="1"/>
      <c r="Q4" s="1"/>
      <c r="R4" s="1"/>
      <c r="S4" s="1"/>
      <c r="T4" s="1"/>
      <c r="U4" s="1"/>
      <c r="V4" s="1"/>
      <c r="W4" s="1"/>
      <c r="X4" s="1"/>
      <c r="Y4" s="1"/>
      <c r="Z4" s="1"/>
      <c r="AA4" s="1"/>
      <c r="AB4" s="1"/>
      <c r="AC4" s="1"/>
      <c r="AD4" s="1"/>
      <c r="AE4" s="1"/>
      <c r="AF4" s="1"/>
      <c r="AG4" s="1"/>
      <c r="AH4" s="1"/>
    </row>
    <row r="5" spans="1:34" ht="15">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0">
      <c r="A6" s="30"/>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2"/>
      <c r="L6" s="109" t="s">
        <v>100</v>
      </c>
      <c r="P6" s="1"/>
      <c r="Q6" s="1"/>
      <c r="R6" s="1"/>
      <c r="S6" s="1"/>
      <c r="T6" s="1"/>
      <c r="U6" s="1"/>
      <c r="V6" s="1"/>
      <c r="W6" s="1"/>
      <c r="X6" s="1"/>
      <c r="Y6" s="1"/>
      <c r="Z6" s="1"/>
      <c r="AA6" s="1"/>
      <c r="AB6" s="1"/>
      <c r="AC6" s="1"/>
      <c r="AD6" s="1"/>
      <c r="AE6" s="1"/>
      <c r="AF6" s="1"/>
      <c r="AG6" s="1"/>
      <c r="AH6" s="1"/>
    </row>
    <row r="7" spans="1:34" ht="37.15" customHeight="1">
      <c r="A7" s="30"/>
      <c r="B7" s="362" t="str">
        <f ca="1">OFFSET(L!$C$1,MATCH("Declaration"&amp;ADDRESS(ROW(),COLUMN(),4),L!$A:$A,0)-1,SL,,)</f>
        <v>Company Information</v>
      </c>
      <c r="C7" s="362"/>
      <c r="D7" s="362"/>
      <c r="E7" s="362"/>
      <c r="F7" s="362"/>
      <c r="G7" s="362"/>
      <c r="H7" s="362"/>
      <c r="I7" s="362"/>
      <c r="J7" s="362"/>
      <c r="K7" s="32"/>
      <c r="L7" s="109"/>
      <c r="P7" s="1"/>
      <c r="Q7" s="1"/>
      <c r="R7" s="1"/>
      <c r="S7" s="1"/>
      <c r="T7" s="1"/>
      <c r="U7" s="1"/>
      <c r="V7" s="1"/>
      <c r="W7" s="1"/>
      <c r="X7" s="1"/>
      <c r="Y7" s="1"/>
      <c r="Z7" s="1"/>
      <c r="AA7" s="1"/>
      <c r="AB7" s="1"/>
      <c r="AC7" s="1"/>
      <c r="AD7" s="1"/>
      <c r="AE7" s="1"/>
      <c r="AF7" s="1"/>
      <c r="AG7" s="1"/>
      <c r="AH7" s="1"/>
    </row>
    <row r="8" spans="1:34" ht="15.75">
      <c r="A8" s="34"/>
      <c r="B8" s="291" t="str">
        <f ca="1">OFFSET(L!$C$1,MATCH("Declaration"&amp;ADDRESS(ROW(),COLUMN(),4),L!$A:$A,0)-1,SL,,)</f>
        <v>Company Name (*):</v>
      </c>
      <c r="C8" s="70"/>
      <c r="D8" s="347" t="s">
        <v>15774</v>
      </c>
      <c r="E8" s="348"/>
      <c r="F8" s="348"/>
      <c r="G8" s="348"/>
      <c r="H8" s="348"/>
      <c r="I8" s="348"/>
      <c r="J8" s="349"/>
      <c r="K8" s="35"/>
      <c r="L8" s="109"/>
      <c r="P8" s="1"/>
      <c r="Q8" s="1"/>
      <c r="R8" s="1"/>
      <c r="S8" s="1"/>
      <c r="T8" s="1"/>
      <c r="U8" s="1"/>
      <c r="V8" s="1"/>
      <c r="W8" s="1"/>
      <c r="X8" s="1"/>
      <c r="Y8" s="1"/>
      <c r="Z8" s="1"/>
      <c r="AA8" s="1"/>
      <c r="AB8" s="1"/>
      <c r="AC8" s="1"/>
      <c r="AD8" s="1"/>
      <c r="AE8" s="1"/>
      <c r="AF8" s="1"/>
      <c r="AG8" s="1"/>
      <c r="AH8" s="1"/>
    </row>
    <row r="9" spans="1:34" ht="15.75">
      <c r="A9" s="34"/>
      <c r="B9" s="291" t="str">
        <f ca="1">OFFSET(L!$C$1,MATCH("Declaration"&amp;ADDRESS(ROW(),COLUMN(),4),L!$A:$A,0)-1,SL,,)</f>
        <v>Declaration Scope or Class (*):</v>
      </c>
      <c r="C9" s="70"/>
      <c r="D9" s="359" t="s">
        <v>114</v>
      </c>
      <c r="E9" s="360"/>
      <c r="F9" s="360"/>
      <c r="G9" s="361"/>
      <c r="H9" s="209"/>
      <c r="I9" s="209"/>
      <c r="J9" s="209"/>
      <c r="K9" s="32"/>
      <c r="L9" s="109"/>
      <c r="P9" s="41" t="s">
        <v>114</v>
      </c>
      <c r="Q9" s="41" t="s">
        <v>115</v>
      </c>
      <c r="R9" s="41" t="s">
        <v>116</v>
      </c>
      <c r="S9" s="41"/>
      <c r="T9" s="29"/>
      <c r="U9" s="1"/>
      <c r="V9" s="1"/>
      <c r="W9" s="1"/>
      <c r="X9" s="1"/>
      <c r="Y9" s="1"/>
      <c r="Z9" s="1"/>
      <c r="AA9" s="1"/>
      <c r="AB9" s="1"/>
      <c r="AC9" s="1"/>
      <c r="AD9" s="1"/>
      <c r="AE9" s="1"/>
      <c r="AF9" s="1"/>
      <c r="AG9" s="1"/>
      <c r="AH9" s="1"/>
    </row>
    <row r="10" spans="1:34" ht="32.65" customHeight="1">
      <c r="A10" s="34"/>
      <c r="B10" s="363" t="str">
        <f ca="1">OFFSET(L!$C$1,MATCH("Declaration"&amp;ADDRESS(ROW(),COLUMN(),4)&amp;LEFT($D$9,1),L!$A:$A,0)-1,SL,,)</f>
        <v>Description of Scope:</v>
      </c>
      <c r="C10" s="116"/>
      <c r="D10" s="354" t="s">
        <v>15775</v>
      </c>
      <c r="E10" s="355"/>
      <c r="F10" s="355"/>
      <c r="G10" s="355"/>
      <c r="H10" s="355"/>
      <c r="I10" s="355"/>
      <c r="J10" s="356"/>
      <c r="K10" s="32"/>
      <c r="L10" s="109"/>
      <c r="Q10" s="1"/>
      <c r="R10" s="1"/>
      <c r="S10" s="1"/>
      <c r="T10" s="1"/>
      <c r="U10" s="1"/>
      <c r="V10" s="1"/>
      <c r="W10" s="1"/>
      <c r="X10" s="1"/>
      <c r="Y10" s="1"/>
      <c r="Z10" s="1"/>
      <c r="AA10" s="1"/>
      <c r="AB10" s="1"/>
      <c r="AC10" s="1"/>
      <c r="AD10" s="1"/>
      <c r="AE10" s="1"/>
      <c r="AF10" s="1"/>
      <c r="AG10" s="1"/>
      <c r="AH10" s="1"/>
    </row>
    <row r="11" spans="1:34" ht="15.75">
      <c r="A11" s="34"/>
      <c r="B11" s="364"/>
      <c r="C11" s="116"/>
      <c r="D11" s="370" t="str">
        <f ca="1">IF(D9=Q9,OFFSET(L!$C$1,MATCH("Declaration"&amp;ADDRESS(ROW(),COLUMN(),4),L!$A:$A,0)-1,SL,,),"")</f>
        <v/>
      </c>
      <c r="E11" s="371"/>
      <c r="F11" s="371"/>
      <c r="G11" s="371"/>
      <c r="H11" s="371"/>
      <c r="I11" s="371"/>
      <c r="J11" s="372"/>
      <c r="K11" s="32"/>
      <c r="L11" s="109"/>
      <c r="Q11" s="1"/>
      <c r="R11" s="1"/>
      <c r="S11" s="1"/>
      <c r="T11" s="1"/>
      <c r="U11" s="1"/>
      <c r="V11" s="1"/>
      <c r="W11" s="1"/>
      <c r="X11" s="1"/>
      <c r="Y11" s="1"/>
      <c r="Z11" s="1"/>
      <c r="AA11" s="1"/>
      <c r="AB11" s="1"/>
      <c r="AC11" s="1"/>
      <c r="AD11" s="1"/>
      <c r="AE11" s="1"/>
      <c r="AF11" s="1"/>
      <c r="AG11" s="1"/>
      <c r="AH11" s="1"/>
    </row>
    <row r="12" spans="1:34" ht="15.75">
      <c r="A12" s="34"/>
      <c r="B12" s="36" t="str">
        <f ca="1">OFFSET(L!$C$1,MATCH("Declaration"&amp;ADDRESS(ROW(),COLUMN(),4),L!$A:$A,0)-1,SL,,)</f>
        <v>Company Unique ID:</v>
      </c>
      <c r="C12" s="71"/>
      <c r="D12" s="350" t="s">
        <v>15776</v>
      </c>
      <c r="E12" s="351"/>
      <c r="F12" s="351"/>
      <c r="G12" s="351"/>
      <c r="H12" s="351"/>
      <c r="I12" s="351"/>
      <c r="J12" s="352"/>
      <c r="K12" s="32"/>
      <c r="L12" s="109"/>
      <c r="Q12" s="1"/>
      <c r="R12" s="1"/>
      <c r="S12" s="1"/>
      <c r="T12" s="1"/>
      <c r="U12" s="1"/>
      <c r="V12" s="1"/>
      <c r="W12" s="1"/>
      <c r="X12" s="1"/>
      <c r="Y12" s="1"/>
      <c r="Z12" s="1"/>
      <c r="AA12" s="1"/>
      <c r="AB12" s="1"/>
      <c r="AC12" s="1"/>
      <c r="AD12" s="1"/>
      <c r="AE12" s="1"/>
      <c r="AF12" s="1"/>
      <c r="AG12" s="1"/>
      <c r="AH12" s="1"/>
    </row>
    <row r="13" spans="1:34" ht="15.75">
      <c r="A13" s="34"/>
      <c r="B13" s="36" t="str">
        <f ca="1">OFFSET(L!$C$1,MATCH("Declaration"&amp;ADDRESS(ROW(),COLUMN(),4),L!$A:$A,0)-1,SL,,)</f>
        <v>Company Unique ID Authority:</v>
      </c>
      <c r="C13" s="71"/>
      <c r="D13" s="350" t="s">
        <v>15777</v>
      </c>
      <c r="E13" s="351"/>
      <c r="F13" s="351"/>
      <c r="G13" s="351"/>
      <c r="H13" s="351"/>
      <c r="I13" s="351"/>
      <c r="J13" s="352"/>
      <c r="K13" s="32"/>
      <c r="L13" s="109"/>
      <c r="Q13" s="1"/>
      <c r="R13" s="1"/>
      <c r="S13" s="1"/>
      <c r="T13" s="1"/>
      <c r="U13" s="1"/>
      <c r="V13" s="1"/>
      <c r="W13" s="1"/>
      <c r="X13" s="1"/>
      <c r="Y13" s="1"/>
      <c r="Z13" s="1"/>
      <c r="AA13" s="1"/>
      <c r="AB13" s="1"/>
      <c r="AC13" s="1"/>
      <c r="AD13" s="1"/>
      <c r="AE13" s="1"/>
      <c r="AF13" s="1"/>
      <c r="AG13" s="1"/>
      <c r="AH13" s="1"/>
    </row>
    <row r="14" spans="1:34" ht="15.75">
      <c r="A14" s="34"/>
      <c r="B14" s="36" t="str">
        <f ca="1">OFFSET(L!$C$1,MATCH("Declaration"&amp;ADDRESS(ROW(),COLUMN(),4),L!$A:$A,0)-1,SL,,)</f>
        <v>Address:</v>
      </c>
      <c r="C14" s="71"/>
      <c r="D14" s="350" t="s">
        <v>15778</v>
      </c>
      <c r="E14" s="351"/>
      <c r="F14" s="351"/>
      <c r="G14" s="351"/>
      <c r="H14" s="351"/>
      <c r="I14" s="351"/>
      <c r="J14" s="352"/>
      <c r="K14" s="32"/>
      <c r="L14" s="109"/>
      <c r="Q14" s="1"/>
      <c r="R14" s="1"/>
      <c r="S14" s="1"/>
      <c r="T14" s="1"/>
      <c r="U14" s="1"/>
      <c r="V14" s="1"/>
      <c r="W14" s="1"/>
      <c r="X14" s="1"/>
      <c r="Y14" s="1"/>
      <c r="Z14" s="1"/>
      <c r="AA14" s="1"/>
      <c r="AB14" s="1"/>
      <c r="AC14" s="1"/>
      <c r="AD14" s="1"/>
      <c r="AE14" s="1"/>
      <c r="AF14" s="1"/>
      <c r="AG14" s="1"/>
      <c r="AH14" s="1"/>
    </row>
    <row r="15" spans="1:34" ht="15.75">
      <c r="A15" s="34"/>
      <c r="B15" s="36" t="str">
        <f ca="1">OFFSET(L!$C$1,MATCH("Declaration"&amp;ADDRESS(ROW(),COLUMN(),4),L!$A:$A,0)-1,SL,,)</f>
        <v>Contact Name (*):</v>
      </c>
      <c r="C15" s="71"/>
      <c r="D15" s="350" t="s">
        <v>15779</v>
      </c>
      <c r="E15" s="351"/>
      <c r="F15" s="351"/>
      <c r="G15" s="351"/>
      <c r="H15" s="351"/>
      <c r="I15" s="351"/>
      <c r="J15" s="352"/>
      <c r="K15" s="32"/>
      <c r="L15" s="109"/>
      <c r="Q15" s="1"/>
      <c r="R15" s="1"/>
      <c r="S15" s="1"/>
      <c r="T15" s="1"/>
      <c r="U15" s="1"/>
      <c r="V15" s="1"/>
      <c r="W15" s="1"/>
      <c r="X15" s="1"/>
      <c r="Y15" s="1"/>
      <c r="Z15" s="1"/>
      <c r="AA15" s="1"/>
      <c r="AB15" s="1"/>
      <c r="AC15" s="1"/>
      <c r="AD15" s="1"/>
      <c r="AE15" s="1"/>
      <c r="AF15" s="1"/>
      <c r="AG15" s="1"/>
      <c r="AH15" s="1"/>
    </row>
    <row r="16" spans="1:34" ht="15.75">
      <c r="A16" s="34"/>
      <c r="B16" s="36" t="str">
        <f ca="1">OFFSET(L!$C$1,MATCH("Declaration"&amp;ADDRESS(ROW(),COLUMN(),4),L!$A:$A,0)-1,SL,,)</f>
        <v>Email – Contact (*):</v>
      </c>
      <c r="C16" s="71"/>
      <c r="D16" s="365" t="s">
        <v>15780</v>
      </c>
      <c r="E16" s="366"/>
      <c r="F16" s="366"/>
      <c r="G16" s="366"/>
      <c r="H16" s="366"/>
      <c r="I16" s="366"/>
      <c r="J16" s="367"/>
      <c r="K16" s="32"/>
      <c r="L16" s="109"/>
      <c r="Q16" s="1"/>
      <c r="R16" s="1"/>
      <c r="S16" s="1"/>
      <c r="T16" s="1"/>
      <c r="U16" s="1"/>
      <c r="V16" s="1"/>
      <c r="W16" s="1"/>
      <c r="X16" s="1"/>
      <c r="Y16" s="1"/>
      <c r="Z16" s="1"/>
      <c r="AA16" s="1"/>
      <c r="AB16" s="1"/>
      <c r="AC16" s="1"/>
      <c r="AD16" s="1"/>
      <c r="AE16" s="1"/>
      <c r="AF16" s="1"/>
      <c r="AG16" s="1"/>
      <c r="AH16" s="1"/>
    </row>
    <row r="17" spans="1:34" ht="15.75">
      <c r="A17" s="34"/>
      <c r="B17" s="36" t="str">
        <f ca="1">OFFSET(L!$C$1,MATCH("Declaration"&amp;ADDRESS(ROW(),COLUMN(),4),L!$A:$A,0)-1,SL,,)</f>
        <v>Phone – Contact (*):</v>
      </c>
      <c r="C17" s="71"/>
      <c r="D17" s="350" t="s">
        <v>15781</v>
      </c>
      <c r="E17" s="351"/>
      <c r="F17" s="351"/>
      <c r="G17" s="351"/>
      <c r="H17" s="351"/>
      <c r="I17" s="351"/>
      <c r="J17" s="352"/>
      <c r="K17" s="32"/>
      <c r="L17" s="109"/>
      <c r="Q17" s="1"/>
      <c r="R17" s="1"/>
      <c r="S17" s="1"/>
      <c r="T17" s="1"/>
      <c r="U17" s="1"/>
      <c r="V17" s="1"/>
      <c r="W17" s="1"/>
      <c r="X17" s="1"/>
      <c r="Y17" s="1"/>
      <c r="Z17" s="1"/>
      <c r="AA17" s="1"/>
      <c r="AB17" s="1"/>
      <c r="AC17" s="1"/>
      <c r="AD17" s="1"/>
      <c r="AE17" s="1"/>
      <c r="AF17" s="1"/>
      <c r="AG17" s="1"/>
      <c r="AH17" s="1"/>
    </row>
    <row r="18" spans="1:34" ht="22.5">
      <c r="A18" s="34"/>
      <c r="B18" s="36" t="str">
        <f ca="1">OFFSET(L!$C$1,MATCH("Declaration"&amp;ADDRESS(ROW(),COLUMN(),4),L!$A:$A,0)-1,SL,,)</f>
        <v>Authorizer (*):</v>
      </c>
      <c r="C18" s="71"/>
      <c r="D18" s="383" t="s">
        <v>15782</v>
      </c>
      <c r="E18" s="384"/>
      <c r="F18" s="384"/>
      <c r="G18" s="384"/>
      <c r="H18" s="384"/>
      <c r="I18" s="384"/>
      <c r="J18" s="385"/>
      <c r="K18" s="32"/>
      <c r="L18" s="104"/>
      <c r="Q18" s="1"/>
      <c r="R18" s="1"/>
      <c r="S18" s="1"/>
      <c r="T18" s="1"/>
      <c r="U18" s="1"/>
      <c r="V18" s="1"/>
      <c r="W18" s="1"/>
      <c r="X18" s="1"/>
      <c r="Y18" s="1"/>
      <c r="Z18" s="1"/>
      <c r="AA18" s="1"/>
      <c r="AB18" s="1"/>
      <c r="AC18" s="1"/>
      <c r="AD18" s="1"/>
      <c r="AE18" s="1"/>
      <c r="AF18" s="1"/>
      <c r="AG18" s="1"/>
      <c r="AH18" s="1"/>
    </row>
    <row r="19" spans="1:34" ht="22.5">
      <c r="A19" s="34"/>
      <c r="B19" s="36" t="str">
        <f ca="1">OFFSET(L!$C$1,MATCH("Declaration"&amp;ADDRESS(ROW(),COLUMN(),4),L!$A:$A,0)-1,SL,,)</f>
        <v>Title - Authorizer:</v>
      </c>
      <c r="C19" s="71"/>
      <c r="D19" s="350" t="s">
        <v>15783</v>
      </c>
      <c r="E19" s="351"/>
      <c r="F19" s="351"/>
      <c r="G19" s="351"/>
      <c r="H19" s="351"/>
      <c r="I19" s="351"/>
      <c r="J19" s="352"/>
      <c r="K19" s="32"/>
      <c r="L19" s="104"/>
      <c r="P19" s="1"/>
      <c r="Q19" s="1"/>
      <c r="R19" s="1"/>
      <c r="S19" s="1"/>
      <c r="T19" s="1"/>
      <c r="U19" s="1"/>
      <c r="V19" s="1"/>
      <c r="W19" s="1"/>
      <c r="X19" s="1"/>
      <c r="Y19" s="1"/>
      <c r="Z19" s="1"/>
      <c r="AA19" s="1"/>
      <c r="AB19" s="1"/>
      <c r="AC19" s="1"/>
      <c r="AD19" s="1"/>
      <c r="AE19" s="1"/>
      <c r="AF19" s="1"/>
      <c r="AG19" s="1"/>
      <c r="AH19" s="1"/>
    </row>
    <row r="20" spans="1:34" ht="22.5">
      <c r="A20" s="34"/>
      <c r="B20" s="36" t="str">
        <f ca="1">OFFSET(L!$C$1,MATCH("Declaration"&amp;ADDRESS(ROW(),COLUMN(),4),L!$A:$A,0)-1,SL,,)</f>
        <v>Email - Authorizer (*):</v>
      </c>
      <c r="C20" s="71"/>
      <c r="D20" s="365" t="s">
        <v>15784</v>
      </c>
      <c r="E20" s="366"/>
      <c r="F20" s="366"/>
      <c r="G20" s="366"/>
      <c r="H20" s="366"/>
      <c r="I20" s="366"/>
      <c r="J20" s="367"/>
      <c r="K20" s="32"/>
      <c r="L20" s="104"/>
      <c r="P20" s="1"/>
      <c r="Q20" s="1"/>
      <c r="R20" s="1"/>
      <c r="S20" s="1"/>
      <c r="T20" s="1"/>
      <c r="U20" s="1"/>
      <c r="V20" s="1"/>
      <c r="W20" s="1"/>
      <c r="X20" s="1"/>
      <c r="Y20" s="1"/>
      <c r="Z20" s="1"/>
      <c r="AA20" s="1"/>
      <c r="AB20" s="1"/>
      <c r="AC20" s="1"/>
      <c r="AD20" s="1"/>
      <c r="AE20" s="1"/>
      <c r="AF20" s="1"/>
      <c r="AG20" s="1"/>
      <c r="AH20" s="1"/>
    </row>
    <row r="21" spans="1:34" ht="15.75">
      <c r="A21" s="34"/>
      <c r="B21" s="36" t="str">
        <f ca="1">OFFSET(L!$C$1,MATCH("Declaration"&amp;ADDRESS(ROW(),COLUMN(),4),L!$A:$A,0)-1,SL,,)</f>
        <v>Phone - Authorizer:</v>
      </c>
      <c r="C21" s="127"/>
      <c r="D21" s="323" t="s">
        <v>15781</v>
      </c>
      <c r="E21" s="324"/>
      <c r="F21" s="324"/>
      <c r="G21" s="324"/>
      <c r="H21" s="324"/>
      <c r="I21" s="324"/>
      <c r="J21" s="325"/>
      <c r="K21" s="32"/>
      <c r="L21" s="109"/>
      <c r="P21" s="1"/>
      <c r="Q21" s="1"/>
      <c r="R21" s="1"/>
      <c r="S21" s="1"/>
      <c r="T21" s="1"/>
      <c r="U21" s="1"/>
      <c r="V21" s="1"/>
      <c r="W21" s="1"/>
      <c r="X21" s="1"/>
      <c r="Y21" s="1"/>
      <c r="Z21" s="1"/>
      <c r="AA21" s="1"/>
      <c r="AB21" s="1"/>
      <c r="AC21" s="1"/>
      <c r="AD21" s="1"/>
      <c r="AE21" s="1"/>
      <c r="AF21" s="1"/>
      <c r="AG21" s="1"/>
      <c r="AH21" s="1"/>
    </row>
    <row r="22" spans="1:34" ht="18">
      <c r="A22" s="34"/>
      <c r="B22" s="36" t="str">
        <f ca="1">OFFSET(L!$C$1,MATCH("Declaration"&amp;ADDRESS(ROW(),COLUMN(),4),L!$A:$A,0)-1,SL,,)</f>
        <v>Effective Date (*):</v>
      </c>
      <c r="C22" s="72"/>
      <c r="D22" s="328">
        <v>45231</v>
      </c>
      <c r="E22" s="329"/>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8">
      <c r="A23" s="37"/>
      <c r="B23" s="73"/>
      <c r="C23" s="15"/>
      <c r="D23" s="375"/>
      <c r="E23" s="375"/>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5.75">
      <c r="A24" s="38"/>
      <c r="B24" s="330" t="str">
        <f ca="1">OFFSET(L!$C$1,MATCH("Declaration"&amp;ADDRESS(ROW(),COLUMN(),4),L!$A:$A,0)-1,SL,,)</f>
        <v>Answer the following questions 1 - 8 based on the declaration scope indicated above</v>
      </c>
      <c r="C24" s="330"/>
      <c r="D24" s="330"/>
      <c r="E24" s="330"/>
      <c r="F24" s="330"/>
      <c r="G24" s="330"/>
      <c r="H24" s="330"/>
      <c r="I24" s="330"/>
      <c r="J24" s="330"/>
      <c r="K24" s="39"/>
      <c r="L24" s="105"/>
      <c r="P24" s="1"/>
      <c r="Q24" s="1"/>
      <c r="R24" s="1"/>
      <c r="S24" s="1"/>
      <c r="T24" s="1"/>
      <c r="U24" s="1"/>
      <c r="V24" s="1"/>
      <c r="W24" s="1"/>
      <c r="X24" s="1"/>
      <c r="Y24" s="1"/>
      <c r="Z24" s="1"/>
      <c r="AA24" s="1"/>
      <c r="AB24" s="1"/>
      <c r="AC24" s="1"/>
      <c r="AD24" s="1"/>
      <c r="AE24" s="1"/>
      <c r="AF24" s="1"/>
      <c r="AG24" s="1"/>
      <c r="AH24" s="1"/>
    </row>
    <row r="25" spans="1:34" ht="48.6" customHeight="1">
      <c r="A25" s="37"/>
      <c r="B25" s="40" t="str">
        <f ca="1">OFFSET(L!$C$1,MATCH("Declaration"&amp;ADDRESS(ROW(),COLUMN(),4),L!$A:$A,0)-1,SL,,)</f>
        <v>1) Is any 3TG intentionally added or used in the product(s) or in the production process? (*)</v>
      </c>
      <c r="C25" s="15"/>
      <c r="D25" s="337" t="str">
        <f ca="1">OFFSET(L!$C$1,MATCH("Declaration"&amp;ADDRESS(ROW(),COLUMN(),4),L!$A:$A,0)-1,SL,,)</f>
        <v>Answer</v>
      </c>
      <c r="E25" s="337"/>
      <c r="F25" s="16"/>
      <c r="G25" s="40" t="str">
        <f ca="1">OFFSET(L!$C$1,MATCH("Declaration"&amp;ADDRESS(ROW(),COLUMN(),4),L!$A:$A,0)-1,SL,,)</f>
        <v>Comments</v>
      </c>
      <c r="H25" s="40"/>
      <c r="I25" s="40"/>
      <c r="J25" s="77"/>
      <c r="K25" s="32"/>
      <c r="L25" s="105" t="s">
        <v>103</v>
      </c>
      <c r="P25" s="1"/>
      <c r="Q25" s="1"/>
      <c r="R25" s="1"/>
      <c r="S25" s="1"/>
      <c r="T25" s="1"/>
      <c r="U25" s="1"/>
      <c r="V25" s="1"/>
      <c r="W25" s="1"/>
      <c r="X25" s="1"/>
      <c r="Y25" s="1"/>
      <c r="Z25" s="1"/>
      <c r="AA25" s="1"/>
      <c r="AB25" s="1"/>
      <c r="AC25" s="1"/>
      <c r="AD25" s="1"/>
      <c r="AE25" s="1"/>
      <c r="AF25" s="1"/>
      <c r="AG25" s="1"/>
      <c r="AH25" s="1"/>
    </row>
    <row r="26" spans="1:34" ht="22.5">
      <c r="A26" s="37"/>
      <c r="B26" s="36" t="str">
        <f ca="1">OFFSET(L!$C$1,MATCH("Declaration"&amp;ADDRESS(ROW(),COLUMN(),4),L!$A:$A,0)-1,SL,,)&amp;P26</f>
        <v xml:space="preserve">Tantalum  </v>
      </c>
      <c r="C26" s="31"/>
      <c r="D26" s="326" t="s">
        <v>118</v>
      </c>
      <c r="E26" s="327"/>
      <c r="F26" s="10"/>
      <c r="G26" s="334"/>
      <c r="H26" s="335"/>
      <c r="I26" s="335"/>
      <c r="J26" s="336"/>
      <c r="K26" s="32"/>
      <c r="L26" s="110"/>
      <c r="P26" s="41" t="str">
        <f>IF(D$26="No","","(*)")</f>
        <v/>
      </c>
      <c r="R26" s="1"/>
      <c r="S26" s="1"/>
      <c r="T26" s="1"/>
      <c r="U26" s="1"/>
      <c r="V26" s="1"/>
      <c r="W26" s="1"/>
      <c r="X26" s="1"/>
      <c r="Y26" s="1"/>
      <c r="Z26" s="1"/>
      <c r="AA26" s="1"/>
      <c r="AB26" s="1"/>
      <c r="AC26" s="1"/>
      <c r="AD26" s="1"/>
      <c r="AE26" s="1"/>
      <c r="AF26" s="1"/>
      <c r="AG26" s="1"/>
      <c r="AH26" s="1"/>
    </row>
    <row r="27" spans="1:34" ht="22.5">
      <c r="A27" s="37"/>
      <c r="B27" s="36" t="str">
        <f ca="1">OFFSET(L!$C$1,MATCH("Declaration"&amp;ADDRESS(ROW(),COLUMN(),4),L!$A:$A,0)-1,SL,,)&amp;P27</f>
        <v>Tin  (*)</v>
      </c>
      <c r="C27" s="31"/>
      <c r="D27" s="326" t="s">
        <v>117</v>
      </c>
      <c r="E27" s="327"/>
      <c r="F27" s="10"/>
      <c r="G27" s="334"/>
      <c r="H27" s="335"/>
      <c r="I27" s="335"/>
      <c r="J27" s="336"/>
      <c r="K27" s="32"/>
      <c r="L27" s="110"/>
      <c r="P27" s="41" t="str">
        <f>IF(D$27="No","","(*)")</f>
        <v>(*)</v>
      </c>
      <c r="R27" s="1"/>
      <c r="S27" s="1"/>
      <c r="T27" s="1"/>
      <c r="U27" s="1"/>
      <c r="V27" s="1"/>
      <c r="W27" s="1"/>
      <c r="X27" s="1"/>
      <c r="Y27" s="1"/>
      <c r="Z27" s="1"/>
      <c r="AA27" s="1"/>
      <c r="AB27" s="1"/>
      <c r="AC27" s="1"/>
      <c r="AD27" s="1"/>
      <c r="AE27" s="1"/>
      <c r="AF27" s="1"/>
      <c r="AG27" s="1"/>
      <c r="AH27" s="1"/>
    </row>
    <row r="28" spans="1:34" ht="22.5">
      <c r="A28" s="37"/>
      <c r="B28" s="36" t="str">
        <f ca="1">OFFSET(L!$C$1,MATCH("Declaration"&amp;ADDRESS(ROW(),COLUMN(),4),L!$A:$A,0)-1,SL,,)&amp;P28</f>
        <v xml:space="preserve">Gold  </v>
      </c>
      <c r="C28" s="31"/>
      <c r="D28" s="326" t="s">
        <v>118</v>
      </c>
      <c r="E28" s="327"/>
      <c r="F28" s="10"/>
      <c r="G28" s="334"/>
      <c r="H28" s="335"/>
      <c r="I28" s="335"/>
      <c r="J28" s="336"/>
      <c r="K28" s="32"/>
      <c r="L28" s="110"/>
      <c r="P28" s="41" t="str">
        <f>IF(D$28="No","","(*)")</f>
        <v/>
      </c>
      <c r="R28" s="1"/>
      <c r="S28" s="1"/>
      <c r="T28" s="1"/>
      <c r="U28" s="1"/>
      <c r="V28" s="1"/>
      <c r="W28" s="1"/>
      <c r="X28" s="1"/>
      <c r="Y28" s="1"/>
      <c r="Z28" s="1"/>
      <c r="AA28" s="1"/>
      <c r="AB28" s="1"/>
      <c r="AC28" s="1"/>
      <c r="AD28" s="1"/>
      <c r="AE28" s="1"/>
      <c r="AF28" s="1"/>
      <c r="AG28" s="1"/>
      <c r="AH28" s="1"/>
    </row>
    <row r="29" spans="1:34" ht="22.5">
      <c r="A29" s="37"/>
      <c r="B29" s="36" t="str">
        <f ca="1">OFFSET(L!$C$1,MATCH("Declaration"&amp;ADDRESS(ROW(),COLUMN(),4),L!$A:$A,0)-1,SL,,)&amp;P29</f>
        <v xml:space="preserve">Tungsten  </v>
      </c>
      <c r="C29" s="31"/>
      <c r="D29" s="326" t="s">
        <v>118</v>
      </c>
      <c r="E29" s="327"/>
      <c r="F29" s="10"/>
      <c r="G29" s="334"/>
      <c r="H29" s="335"/>
      <c r="I29" s="335"/>
      <c r="J29" s="336"/>
      <c r="K29" s="32"/>
      <c r="L29" s="110"/>
      <c r="P29" s="41" t="str">
        <f>IF(D$29="No","","(*)")</f>
        <v/>
      </c>
      <c r="R29" s="1"/>
      <c r="S29" s="1"/>
      <c r="T29" s="1"/>
      <c r="U29" s="1"/>
      <c r="V29" s="1"/>
      <c r="W29" s="1"/>
      <c r="X29" s="1"/>
      <c r="Y29" s="1"/>
      <c r="Z29" s="1"/>
      <c r="AA29" s="1"/>
      <c r="AB29" s="1"/>
      <c r="AC29" s="1"/>
      <c r="AD29" s="1"/>
      <c r="AE29" s="1"/>
      <c r="AF29" s="1"/>
      <c r="AG29" s="1"/>
      <c r="AH29" s="1"/>
    </row>
    <row r="30" spans="1:34" ht="18">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 customHeight="1">
      <c r="A31" s="37"/>
      <c r="B31" s="40" t="str">
        <f ca="1">OFFSET(L!$C$1,MATCH("Declaration"&amp;ADDRESS(ROW(),COLUMN(),4),L!$A:$A,0)-1,SL,,)&amp;Q$37</f>
        <v>2) Does any 3TG remain in the product(s)? (*)</v>
      </c>
      <c r="C31" s="8"/>
      <c r="D31" s="331" t="str">
        <f ca="1">D25</f>
        <v>Answer</v>
      </c>
      <c r="E31" s="331"/>
      <c r="F31" s="16"/>
      <c r="G31" s="40" t="str">
        <f ca="1">G25</f>
        <v>Comments</v>
      </c>
      <c r="H31" s="40"/>
      <c r="I31" s="40"/>
      <c r="J31" s="77"/>
      <c r="K31" s="32"/>
      <c r="L31" s="105" t="s">
        <v>100</v>
      </c>
      <c r="P31" s="41">
        <f>COUNTIF(D$26:D$29,"No")</f>
        <v>3</v>
      </c>
      <c r="Q31" s="41" t="str">
        <f>IF(P31=4,""," (*)")</f>
        <v xml:space="preserve"> (*)</v>
      </c>
      <c r="R31" s="1"/>
      <c r="S31" s="1"/>
      <c r="T31" s="1"/>
      <c r="U31" s="1"/>
      <c r="V31" s="1"/>
      <c r="W31" s="1"/>
      <c r="X31" s="1"/>
      <c r="Y31" s="1"/>
      <c r="Z31" s="1"/>
      <c r="AA31" s="1"/>
      <c r="AB31" s="1"/>
      <c r="AC31" s="1"/>
      <c r="AD31" s="1"/>
      <c r="AE31" s="1"/>
      <c r="AF31" s="1"/>
      <c r="AG31" s="1"/>
      <c r="AH31" s="1"/>
    </row>
    <row r="32" spans="1:34" ht="22.5">
      <c r="A32" s="37"/>
      <c r="B32" s="36" t="str">
        <f ca="1">B26</f>
        <v xml:space="preserve">Tantalum  </v>
      </c>
      <c r="C32" s="8"/>
      <c r="D32" s="332"/>
      <c r="E32" s="333"/>
      <c r="F32" s="43"/>
      <c r="G32" s="334"/>
      <c r="H32" s="335"/>
      <c r="I32" s="335"/>
      <c r="J32" s="336"/>
      <c r="K32" s="32"/>
      <c r="L32" s="110"/>
      <c r="P32" s="41" t="str">
        <f>IF(D$32="No","","(*)")</f>
        <v>(*)</v>
      </c>
      <c r="Q32" s="1"/>
      <c r="R32" s="1"/>
      <c r="S32" s="1"/>
      <c r="T32" s="1"/>
      <c r="U32" s="1"/>
      <c r="V32" s="1"/>
      <c r="W32" s="1"/>
      <c r="X32" s="1"/>
      <c r="Y32" s="1"/>
      <c r="Z32" s="1"/>
      <c r="AA32" s="1"/>
      <c r="AB32" s="1"/>
      <c r="AC32" s="1"/>
      <c r="AD32" s="1"/>
      <c r="AE32" s="1"/>
      <c r="AF32" s="1"/>
      <c r="AG32" s="1"/>
      <c r="AH32" s="1"/>
    </row>
    <row r="33" spans="1:34" ht="22.5">
      <c r="A33" s="37"/>
      <c r="B33" s="36" t="str">
        <f ca="1">B27</f>
        <v>Tin  (*)</v>
      </c>
      <c r="C33" s="8"/>
      <c r="D33" s="326" t="s">
        <v>117</v>
      </c>
      <c r="E33" s="327"/>
      <c r="F33" s="43"/>
      <c r="G33" s="334"/>
      <c r="H33" s="335"/>
      <c r="I33" s="335"/>
      <c r="J33" s="336"/>
      <c r="K33" s="32"/>
      <c r="L33" s="110"/>
      <c r="P33" s="41" t="str">
        <f>IF(D$33="No","","(*)")</f>
        <v>(*)</v>
      </c>
      <c r="Q33" s="1"/>
      <c r="R33" s="1"/>
      <c r="S33" s="1"/>
      <c r="T33" s="1"/>
      <c r="U33" s="1"/>
      <c r="V33" s="1"/>
      <c r="W33" s="1"/>
      <c r="X33" s="1"/>
      <c r="Y33" s="1"/>
      <c r="Z33" s="1"/>
      <c r="AA33" s="1"/>
      <c r="AB33" s="1"/>
      <c r="AC33" s="1"/>
      <c r="AD33" s="1"/>
      <c r="AE33" s="1"/>
      <c r="AF33" s="1"/>
      <c r="AG33" s="1"/>
      <c r="AH33" s="1"/>
    </row>
    <row r="34" spans="1:34" ht="22.5">
      <c r="A34" s="37"/>
      <c r="B34" s="36" t="str">
        <f ca="1">B28</f>
        <v xml:space="preserve">Gold  </v>
      </c>
      <c r="C34" s="8"/>
      <c r="D34" s="326"/>
      <c r="E34" s="327"/>
      <c r="F34" s="43"/>
      <c r="G34" s="334"/>
      <c r="H34" s="335"/>
      <c r="I34" s="335"/>
      <c r="J34" s="336"/>
      <c r="K34" s="32"/>
      <c r="L34" s="110"/>
      <c r="P34" s="41" t="str">
        <f>IF(D$34="No","","(*)")</f>
        <v>(*)</v>
      </c>
      <c r="Q34" s="1"/>
      <c r="R34" s="1"/>
      <c r="S34" s="1"/>
      <c r="T34" s="1"/>
      <c r="U34" s="1"/>
      <c r="V34" s="1"/>
      <c r="W34" s="1"/>
      <c r="X34" s="1"/>
      <c r="Y34" s="1"/>
      <c r="Z34" s="1"/>
      <c r="AA34" s="1"/>
      <c r="AB34" s="1"/>
      <c r="AC34" s="1"/>
      <c r="AD34" s="1"/>
      <c r="AE34" s="1"/>
      <c r="AF34" s="1"/>
      <c r="AG34" s="1"/>
      <c r="AH34" s="1"/>
    </row>
    <row r="35" spans="1:34" ht="22.5">
      <c r="A35" s="37"/>
      <c r="B35" s="36" t="str">
        <f ca="1">B29</f>
        <v xml:space="preserve">Tungsten  </v>
      </c>
      <c r="C35" s="8"/>
      <c r="D35" s="326"/>
      <c r="E35" s="327"/>
      <c r="F35" s="43"/>
      <c r="G35" s="334"/>
      <c r="H35" s="335"/>
      <c r="I35" s="335"/>
      <c r="J35" s="336"/>
      <c r="K35" s="32"/>
      <c r="L35" s="110"/>
      <c r="P35" s="41" t="str">
        <f>IF(D$35="No","","(*)")</f>
        <v>(*)</v>
      </c>
      <c r="Q35" s="1"/>
      <c r="R35" s="1"/>
      <c r="S35" s="1"/>
      <c r="T35" s="1"/>
      <c r="U35" s="1"/>
      <c r="V35" s="1"/>
      <c r="W35" s="1"/>
      <c r="X35" s="1"/>
      <c r="Y35" s="1"/>
      <c r="Z35" s="1"/>
      <c r="AA35" s="1"/>
      <c r="AB35" s="1"/>
      <c r="AC35" s="1"/>
      <c r="AD35" s="1"/>
      <c r="AE35" s="1"/>
      <c r="AF35" s="1"/>
      <c r="AG35" s="1"/>
      <c r="AH35" s="1"/>
    </row>
    <row r="36" spans="1:34" ht="18">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 customHeight="1">
      <c r="A37" s="37"/>
      <c r="B37" s="40" t="str">
        <f ca="1">OFFSET(L!$C$1,MATCH("Declaration"&amp;ADDRESS(ROW(),COLUMN(),4),L!$A:$A,0)-1,SL,,)&amp;Q$37</f>
        <v>3) Do any of the smelters in your supply chain source the 3TG from the covered countries? (SEC term, see definitions tab) (*)</v>
      </c>
      <c r="C37" s="8"/>
      <c r="D37" s="331" t="str">
        <f ca="1">D25</f>
        <v>Answer</v>
      </c>
      <c r="E37" s="331"/>
      <c r="F37" s="16"/>
      <c r="G37" s="40" t="str">
        <f ca="1">G25</f>
        <v>Comments</v>
      </c>
      <c r="H37" s="374"/>
      <c r="I37" s="374"/>
      <c r="J37" s="374"/>
      <c r="K37" s="32"/>
      <c r="L37" s="105" t="s">
        <v>100</v>
      </c>
      <c r="P37" s="41">
        <f>COUNTIF(D$26:D$29,"No")+COUNTIF(D$32:D$35,"No")</f>
        <v>3</v>
      </c>
      <c r="Q37" s="41" t="str">
        <f>IF(P37&gt;3,""," (*)")</f>
        <v xml:space="preserve"> (*)</v>
      </c>
      <c r="R37" s="1"/>
      <c r="S37" s="1"/>
      <c r="T37" s="1"/>
      <c r="U37" s="1"/>
      <c r="V37" s="1"/>
      <c r="W37" s="1"/>
      <c r="X37" s="1"/>
      <c r="Y37" s="1"/>
      <c r="Z37" s="1"/>
      <c r="AA37" s="1"/>
      <c r="AB37" s="1"/>
      <c r="AC37" s="1"/>
      <c r="AD37" s="1"/>
      <c r="AE37" s="1"/>
      <c r="AF37" s="1"/>
      <c r="AG37" s="1"/>
      <c r="AH37" s="1"/>
    </row>
    <row r="38" spans="1:34" ht="22.5">
      <c r="A38" s="37"/>
      <c r="B38" s="36" t="str">
        <f ca="1">OFFSET(L!$C$1,MATCH("Declaration"&amp;ADDRESS(ROW(),COLUMN(),4),L!$A:$A,0)-1,SL,,)&amp;P38</f>
        <v xml:space="preserve">Tantalum  </v>
      </c>
      <c r="C38" s="8"/>
      <c r="D38" s="326"/>
      <c r="E38" s="327"/>
      <c r="F38" s="43"/>
      <c r="G38" s="334"/>
      <c r="H38" s="335"/>
      <c r="I38" s="335"/>
      <c r="J38" s="336"/>
      <c r="K38" s="32"/>
      <c r="L38" s="110"/>
      <c r="P38" s="41" t="str">
        <f>IF((OR(D$26="No",D$32="No")),"","(*)")</f>
        <v/>
      </c>
      <c r="Q38" s="1"/>
      <c r="R38" s="1"/>
      <c r="S38" s="1"/>
      <c r="T38" s="1"/>
      <c r="U38" s="1"/>
      <c r="V38" s="1"/>
      <c r="W38" s="1"/>
      <c r="X38" s="1"/>
      <c r="Y38" s="1"/>
      <c r="Z38" s="1"/>
      <c r="AA38" s="1"/>
      <c r="AB38" s="1"/>
      <c r="AC38" s="1"/>
      <c r="AD38" s="1"/>
      <c r="AE38" s="1"/>
      <c r="AF38" s="1"/>
      <c r="AG38" s="1"/>
    </row>
    <row r="39" spans="1:34" ht="92.25" customHeight="1">
      <c r="A39" s="37"/>
      <c r="B39" s="36" t="str">
        <f ca="1">OFFSET(L!$C$1,MATCH("Declaration"&amp;ADDRESS(ROW(),COLUMN(),4),L!$A:$A,0)-1,SL,,)&amp;P39</f>
        <v>Tin  (*)</v>
      </c>
      <c r="C39" s="8"/>
      <c r="D39" s="326" t="s">
        <v>117</v>
      </c>
      <c r="E39" s="327"/>
      <c r="F39" s="43"/>
      <c r="G39" s="334" t="s">
        <v>15785</v>
      </c>
      <c r="H39" s="335"/>
      <c r="I39" s="335"/>
      <c r="J39" s="336"/>
      <c r="K39" s="32"/>
      <c r="L39" s="110"/>
      <c r="P39" s="41" t="str">
        <f>IF((OR(D$27="No",D$33="No")),"","(*)")</f>
        <v>(*)</v>
      </c>
      <c r="Q39" s="1"/>
      <c r="R39" s="1"/>
      <c r="S39" s="1"/>
      <c r="T39" s="1"/>
      <c r="U39" s="1"/>
      <c r="V39" s="1"/>
      <c r="W39" s="1"/>
      <c r="X39" s="1"/>
      <c r="Y39" s="1"/>
      <c r="Z39" s="1"/>
      <c r="AA39" s="1"/>
      <c r="AB39" s="1"/>
      <c r="AC39" s="1"/>
      <c r="AD39" s="1"/>
      <c r="AE39" s="1"/>
      <c r="AF39" s="1"/>
      <c r="AG39" s="1"/>
    </row>
    <row r="40" spans="1:34" ht="22.5">
      <c r="A40" s="37"/>
      <c r="B40" s="36" t="str">
        <f ca="1">OFFSET(L!$C$1,MATCH("Declaration"&amp;ADDRESS(ROW(),COLUMN(),4),L!$A:$A,0)-1,SL,,)&amp;P40</f>
        <v xml:space="preserve">Gold  </v>
      </c>
      <c r="C40" s="8"/>
      <c r="D40" s="326"/>
      <c r="E40" s="327"/>
      <c r="F40" s="43"/>
      <c r="G40" s="334"/>
      <c r="H40" s="335"/>
      <c r="I40" s="335"/>
      <c r="J40" s="336"/>
      <c r="K40" s="32"/>
      <c r="L40" s="110"/>
      <c r="P40" s="41" t="str">
        <f>IF((OR(D$28="No",D$34="No")),"","(*)")</f>
        <v/>
      </c>
      <c r="Q40" s="1"/>
      <c r="R40" s="1"/>
      <c r="S40" s="1"/>
      <c r="T40" s="1"/>
      <c r="U40" s="1"/>
      <c r="V40" s="1"/>
      <c r="W40" s="1"/>
      <c r="X40" s="1"/>
      <c r="Y40" s="1"/>
      <c r="Z40" s="1"/>
      <c r="AA40" s="1"/>
      <c r="AB40" s="1"/>
      <c r="AC40" s="1"/>
      <c r="AD40" s="1"/>
      <c r="AE40" s="1"/>
      <c r="AF40" s="1"/>
      <c r="AG40" s="1"/>
    </row>
    <row r="41" spans="1:34" ht="22.5">
      <c r="A41" s="37"/>
      <c r="B41" s="36" t="str">
        <f ca="1">OFFSET(L!$C$1,MATCH("Declaration"&amp;ADDRESS(ROW(),COLUMN(),4),L!$A:$A,0)-1,SL,,)&amp;P41</f>
        <v xml:space="preserve">Tungsten  </v>
      </c>
      <c r="C41" s="8"/>
      <c r="D41" s="326"/>
      <c r="E41" s="327"/>
      <c r="F41" s="43"/>
      <c r="G41" s="334"/>
      <c r="H41" s="335"/>
      <c r="I41" s="335"/>
      <c r="J41" s="336"/>
      <c r="K41" s="32"/>
      <c r="L41" s="110"/>
      <c r="P41" s="41" t="str">
        <f>IF((OR(D$29="No",D$35="No")),"","(*)")</f>
        <v/>
      </c>
      <c r="Q41" s="1"/>
      <c r="R41" s="1"/>
      <c r="S41" s="1"/>
      <c r="T41" s="1"/>
      <c r="U41" s="1"/>
      <c r="V41" s="1"/>
      <c r="W41" s="1"/>
      <c r="X41" s="1"/>
      <c r="Y41" s="1"/>
      <c r="Z41" s="1"/>
      <c r="AA41" s="1"/>
      <c r="AB41" s="1"/>
      <c r="AC41" s="1"/>
      <c r="AD41" s="1"/>
      <c r="AE41" s="1"/>
      <c r="AF41" s="1"/>
      <c r="AG41" s="1"/>
    </row>
    <row r="42" spans="1:34" ht="18">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 customHeight="1">
      <c r="A43" s="37"/>
      <c r="B43" s="40" t="str">
        <f ca="1">OFFSET(L!$C$1,MATCH("Declaration"&amp;ADDRESS(ROW(),COLUMN(),4),L!$A:$A,0)-1,SL,,)&amp;Q$37</f>
        <v>4) Do any of the smelters in your supply chain source the 3TG from conflict-affected and high-risk areas? (*)</v>
      </c>
      <c r="C43" s="8"/>
      <c r="D43" s="331" t="str">
        <f ca="1">D25</f>
        <v>Answer</v>
      </c>
      <c r="E43" s="331"/>
      <c r="F43" s="16"/>
      <c r="G43" s="40" t="str">
        <f ca="1">G25</f>
        <v>Comments</v>
      </c>
      <c r="H43" s="40"/>
      <c r="I43" s="40"/>
      <c r="J43" s="77"/>
      <c r="K43" s="32"/>
      <c r="L43" s="105"/>
      <c r="P43" s="41">
        <f>COUNTIF(D$26:D$29,"No")+COUNTIF(D$32:D$35,"No")</f>
        <v>3</v>
      </c>
      <c r="Q43" s="41" t="str">
        <f>IF(P43&gt;3,""," (*)")</f>
        <v xml:space="preserve"> (*)</v>
      </c>
      <c r="R43" s="1"/>
      <c r="S43" s="1"/>
      <c r="T43" s="1"/>
      <c r="U43" s="1"/>
      <c r="V43" s="1"/>
      <c r="W43" s="1"/>
      <c r="X43" s="1"/>
      <c r="Y43" s="1"/>
      <c r="Z43" s="1"/>
      <c r="AA43" s="1"/>
      <c r="AB43" s="1"/>
      <c r="AC43" s="1"/>
      <c r="AD43" s="1"/>
      <c r="AE43" s="1"/>
      <c r="AF43" s="1"/>
      <c r="AG43" s="1"/>
      <c r="AH43" s="1"/>
    </row>
    <row r="44" spans="1:34" ht="23.1" customHeight="1">
      <c r="A44" s="37"/>
      <c r="B44" s="36" t="str">
        <f ca="1">OFFSET(L!$C$1,MATCH("Declaration"&amp;ADDRESS(ROW(),COLUMN(),4),L!$A:$A,0)-1,SL,,)&amp;P44</f>
        <v xml:space="preserve">Tantalum  </v>
      </c>
      <c r="C44" s="8"/>
      <c r="D44" s="326"/>
      <c r="E44" s="327"/>
      <c r="F44" s="43"/>
      <c r="G44" s="334"/>
      <c r="H44" s="335"/>
      <c r="I44" s="335"/>
      <c r="J44" s="336"/>
      <c r="K44" s="32"/>
      <c r="L44" s="105"/>
      <c r="P44" s="41" t="str">
        <f>IF((OR(D$26="No",D$32="No")),"","(*)")</f>
        <v/>
      </c>
      <c r="Q44" s="1"/>
      <c r="R44" s="1"/>
      <c r="S44" s="1"/>
      <c r="T44" s="1"/>
      <c r="U44" s="1"/>
      <c r="V44" s="1"/>
      <c r="W44" s="1"/>
      <c r="X44" s="1"/>
      <c r="Y44" s="1"/>
      <c r="Z44" s="1"/>
      <c r="AA44" s="1"/>
      <c r="AB44" s="1"/>
      <c r="AC44" s="1"/>
      <c r="AD44" s="1"/>
      <c r="AE44" s="1"/>
      <c r="AF44" s="1"/>
      <c r="AG44" s="1"/>
      <c r="AH44" s="1"/>
    </row>
    <row r="45" spans="1:34" ht="80.25" customHeight="1">
      <c r="A45" s="37"/>
      <c r="B45" s="36" t="str">
        <f ca="1">OFFSET(L!$C$1,MATCH("Declaration"&amp;ADDRESS(ROW(),COLUMN(),4),L!$A:$A,0)-1,SL,,)&amp;P45</f>
        <v>Tin  (*)</v>
      </c>
      <c r="C45" s="8"/>
      <c r="D45" s="326" t="s">
        <v>117</v>
      </c>
      <c r="E45" s="327"/>
      <c r="F45" s="43"/>
      <c r="G45" s="334" t="s">
        <v>15785</v>
      </c>
      <c r="H45" s="335"/>
      <c r="I45" s="335"/>
      <c r="J45" s="336"/>
      <c r="K45" s="32"/>
      <c r="L45" s="105"/>
      <c r="P45" s="41" t="str">
        <f>IF((OR(D$27="No",D$33="No")),"","(*)")</f>
        <v>(*)</v>
      </c>
      <c r="Q45" s="1"/>
      <c r="R45" s="1"/>
      <c r="S45" s="1"/>
      <c r="T45" s="1"/>
      <c r="U45" s="1"/>
      <c r="V45" s="1"/>
      <c r="W45" s="1"/>
      <c r="X45" s="1"/>
      <c r="Y45" s="1"/>
      <c r="Z45" s="1"/>
      <c r="AA45" s="1"/>
      <c r="AB45" s="1"/>
      <c r="AC45" s="1"/>
      <c r="AD45" s="1"/>
      <c r="AE45" s="1"/>
      <c r="AF45" s="1"/>
      <c r="AG45" s="1"/>
      <c r="AH45" s="1"/>
    </row>
    <row r="46" spans="1:34" ht="23.1" customHeight="1">
      <c r="A46" s="37"/>
      <c r="B46" s="36" t="str">
        <f ca="1">OFFSET(L!$C$1,MATCH("Declaration"&amp;ADDRESS(ROW(),COLUMN(),4),L!$A:$A,0)-1,SL,,)&amp;P46</f>
        <v xml:space="preserve">Gold  </v>
      </c>
      <c r="C46" s="8"/>
      <c r="D46" s="326"/>
      <c r="E46" s="327"/>
      <c r="F46" s="43"/>
      <c r="G46" s="334"/>
      <c r="H46" s="335"/>
      <c r="I46" s="335"/>
      <c r="J46" s="336"/>
      <c r="K46" s="32"/>
      <c r="L46" s="105"/>
      <c r="P46" s="41" t="str">
        <f>IF((OR(D$28="No",D$34="No")),"","(*)")</f>
        <v/>
      </c>
      <c r="Q46" s="1"/>
      <c r="R46" s="1"/>
      <c r="S46" s="1"/>
      <c r="T46" s="1"/>
      <c r="U46" s="1"/>
      <c r="V46" s="1"/>
      <c r="W46" s="1"/>
      <c r="X46" s="1"/>
      <c r="Y46" s="1"/>
      <c r="Z46" s="1"/>
      <c r="AA46" s="1"/>
      <c r="AB46" s="1"/>
      <c r="AC46" s="1"/>
      <c r="AD46" s="1"/>
      <c r="AE46" s="1"/>
      <c r="AF46" s="1"/>
      <c r="AG46" s="1"/>
      <c r="AH46" s="1"/>
    </row>
    <row r="47" spans="1:34" ht="23.1" customHeight="1">
      <c r="A47" s="37"/>
      <c r="B47" s="36" t="str">
        <f ca="1">OFFSET(L!$C$1,MATCH("Declaration"&amp;ADDRESS(ROW(),COLUMN(),4),L!$A:$A,0)-1,SL,,)&amp;P47</f>
        <v xml:space="preserve">Tungsten  </v>
      </c>
      <c r="C47" s="8"/>
      <c r="D47" s="326"/>
      <c r="E47" s="327"/>
      <c r="F47" s="43"/>
      <c r="G47" s="334"/>
      <c r="H47" s="335"/>
      <c r="I47" s="335"/>
      <c r="J47" s="336"/>
      <c r="K47" s="32"/>
      <c r="L47" s="105"/>
      <c r="P47" s="41" t="str">
        <f>IF((OR(D$29="No",D$35="No")),"","(*)")</f>
        <v/>
      </c>
      <c r="Q47" s="1"/>
      <c r="R47" s="1"/>
      <c r="S47" s="1"/>
      <c r="T47" s="1"/>
      <c r="U47" s="1"/>
      <c r="V47" s="1"/>
      <c r="W47" s="1"/>
      <c r="X47" s="1"/>
      <c r="Y47" s="1"/>
      <c r="Z47" s="1"/>
      <c r="AA47" s="1"/>
      <c r="AB47" s="1"/>
      <c r="AC47" s="1"/>
      <c r="AD47" s="1"/>
      <c r="AE47" s="1"/>
      <c r="AF47" s="1"/>
      <c r="AG47" s="1"/>
      <c r="AH47" s="1"/>
    </row>
    <row r="48" spans="1:34" ht="23.1"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31" t="str">
        <f ca="1">D25</f>
        <v>Answer</v>
      </c>
      <c r="E49" s="331"/>
      <c r="F49" s="16"/>
      <c r="G49" s="40" t="str">
        <f ca="1">G25</f>
        <v>Comments</v>
      </c>
      <c r="H49" s="40"/>
      <c r="I49" s="40"/>
      <c r="J49" s="77"/>
      <c r="K49" s="32"/>
      <c r="L49" s="105" t="s">
        <v>100</v>
      </c>
      <c r="P49" s="1"/>
      <c r="Q49" s="1"/>
      <c r="R49" s="1"/>
      <c r="S49" s="1"/>
      <c r="T49" s="1"/>
      <c r="U49" s="1"/>
      <c r="V49" s="1"/>
      <c r="W49" s="1"/>
      <c r="X49" s="1"/>
      <c r="Y49" s="1"/>
      <c r="Z49" s="1"/>
      <c r="AA49" s="1"/>
      <c r="AB49" s="1"/>
      <c r="AC49" s="1"/>
      <c r="AD49" s="1"/>
      <c r="AE49" s="1"/>
      <c r="AF49" s="1"/>
      <c r="AG49" s="1"/>
      <c r="AH49" s="1"/>
    </row>
    <row r="50" spans="1:34" ht="22.5">
      <c r="A50" s="37"/>
      <c r="B50" s="36" t="str">
        <f ca="1">B38</f>
        <v xml:space="preserve">Tantalum  </v>
      </c>
      <c r="C50" s="8"/>
      <c r="D50" s="326"/>
      <c r="E50" s="327"/>
      <c r="F50" s="43"/>
      <c r="G50" s="334"/>
      <c r="H50" s="335"/>
      <c r="I50" s="335"/>
      <c r="J50" s="336"/>
      <c r="K50" s="32"/>
      <c r="L50" s="110"/>
      <c r="P50" s="1"/>
      <c r="Q50" s="1"/>
      <c r="R50" s="1"/>
      <c r="S50" s="1"/>
      <c r="T50" s="1"/>
      <c r="U50" s="1"/>
      <c r="V50" s="1"/>
      <c r="W50" s="1"/>
      <c r="X50" s="1"/>
      <c r="Y50" s="1"/>
      <c r="Z50" s="1"/>
      <c r="AA50" s="1"/>
      <c r="AB50" s="1"/>
      <c r="AC50" s="1"/>
      <c r="AD50" s="1"/>
      <c r="AE50" s="1"/>
      <c r="AF50" s="1"/>
      <c r="AG50" s="1"/>
      <c r="AH50" s="1"/>
    </row>
    <row r="51" spans="1:34" ht="22.5">
      <c r="A51" s="37"/>
      <c r="B51" s="36" t="str">
        <f ca="1">B39</f>
        <v>Tin  (*)</v>
      </c>
      <c r="C51" s="8"/>
      <c r="D51" s="326" t="s">
        <v>118</v>
      </c>
      <c r="E51" s="327"/>
      <c r="F51" s="43"/>
      <c r="G51" s="334"/>
      <c r="H51" s="335"/>
      <c r="I51" s="335"/>
      <c r="J51" s="336"/>
      <c r="K51" s="32"/>
      <c r="L51" s="110"/>
      <c r="P51" s="1"/>
      <c r="Q51" s="1"/>
      <c r="R51" s="1"/>
      <c r="S51" s="1"/>
      <c r="T51" s="1"/>
      <c r="U51" s="1"/>
      <c r="V51" s="1"/>
      <c r="W51" s="1"/>
      <c r="X51" s="1"/>
      <c r="Y51" s="1"/>
      <c r="Z51" s="1"/>
      <c r="AA51" s="1"/>
      <c r="AB51" s="1"/>
      <c r="AC51" s="1"/>
      <c r="AD51" s="1"/>
      <c r="AE51" s="1"/>
      <c r="AF51" s="1"/>
      <c r="AG51" s="1"/>
      <c r="AH51" s="1"/>
    </row>
    <row r="52" spans="1:34" ht="22.5">
      <c r="A52" s="37"/>
      <c r="B52" s="36" t="str">
        <f ca="1">B40</f>
        <v xml:space="preserve">Gold  </v>
      </c>
      <c r="C52" s="8"/>
      <c r="D52" s="326"/>
      <c r="E52" s="327"/>
      <c r="F52" s="43"/>
      <c r="G52" s="334"/>
      <c r="H52" s="335"/>
      <c r="I52" s="335"/>
      <c r="J52" s="336"/>
      <c r="K52" s="32"/>
      <c r="L52" s="110"/>
      <c r="P52" s="1"/>
      <c r="Q52" s="1"/>
      <c r="R52" s="1"/>
      <c r="S52" s="1"/>
      <c r="T52" s="1"/>
      <c r="U52" s="1"/>
      <c r="V52" s="1"/>
      <c r="W52" s="1"/>
      <c r="X52" s="1"/>
      <c r="Y52" s="1"/>
      <c r="Z52" s="1"/>
      <c r="AA52" s="1"/>
      <c r="AB52" s="1"/>
      <c r="AC52" s="1"/>
      <c r="AD52" s="1"/>
      <c r="AE52" s="1"/>
      <c r="AF52" s="1"/>
      <c r="AG52" s="1"/>
      <c r="AH52" s="1"/>
    </row>
    <row r="53" spans="1:34" ht="22.5">
      <c r="A53" s="37"/>
      <c r="B53" s="36" t="str">
        <f ca="1">B41</f>
        <v xml:space="preserve">Tungsten  </v>
      </c>
      <c r="C53" s="8"/>
      <c r="D53" s="326"/>
      <c r="E53" s="327"/>
      <c r="F53" s="43"/>
      <c r="G53" s="334"/>
      <c r="H53" s="335"/>
      <c r="I53" s="335"/>
      <c r="J53" s="336"/>
      <c r="K53" s="32"/>
      <c r="L53" s="110"/>
      <c r="P53" s="1"/>
      <c r="Q53" s="1"/>
      <c r="R53" s="1"/>
      <c r="S53" s="1"/>
      <c r="T53" s="1"/>
      <c r="U53" s="1"/>
      <c r="V53" s="1"/>
      <c r="W53" s="1"/>
      <c r="X53" s="1"/>
      <c r="Y53" s="1"/>
      <c r="Z53" s="1"/>
      <c r="AA53" s="1"/>
      <c r="AB53" s="1"/>
      <c r="AC53" s="1"/>
      <c r="AD53" s="1"/>
      <c r="AE53" s="1"/>
      <c r="AF53" s="1"/>
      <c r="AG53" s="1"/>
      <c r="AH53" s="1"/>
    </row>
    <row r="54" spans="1:34" ht="18">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 customHeight="1">
      <c r="A55" s="37"/>
      <c r="B55" s="288" t="str">
        <f ca="1">OFFSET(L!$C$1,MATCH("Declaration"&amp;ADDRESS(ROW(),COLUMN(),4),L!$A:$A,0)-1,SL,,)&amp;Q$37</f>
        <v>6) What percentage of relevant suppliers have provided a response to your supply chain survey?  (*)</v>
      </c>
      <c r="C55" s="8"/>
      <c r="D55" s="331" t="str">
        <f ca="1">D25</f>
        <v>Answer</v>
      </c>
      <c r="E55" s="331"/>
      <c r="F55" s="16"/>
      <c r="G55" s="40" t="str">
        <f ca="1">G25</f>
        <v>Comments</v>
      </c>
      <c r="H55" s="119"/>
      <c r="I55" s="119"/>
      <c r="J55" s="119"/>
      <c r="K55" s="32"/>
      <c r="L55" s="105" t="s">
        <v>100</v>
      </c>
      <c r="P55" s="1"/>
      <c r="Q55" s="1"/>
      <c r="R55" s="1"/>
      <c r="S55" s="1"/>
      <c r="T55" s="1"/>
      <c r="U55" s="1"/>
      <c r="V55" s="1"/>
      <c r="W55" s="1"/>
      <c r="X55" s="1"/>
      <c r="Y55" s="1"/>
      <c r="Z55" s="1"/>
      <c r="AA55" s="1"/>
      <c r="AB55" s="1"/>
      <c r="AC55" s="1"/>
      <c r="AD55" s="1"/>
      <c r="AE55" s="1"/>
      <c r="AF55" s="1"/>
      <c r="AG55" s="1"/>
      <c r="AH55" s="1"/>
    </row>
    <row r="56" spans="1:34" ht="22.5">
      <c r="A56" s="37"/>
      <c r="B56" s="36" t="str">
        <f ca="1">B38</f>
        <v xml:space="preserve">Tantalum  </v>
      </c>
      <c r="C56" s="31"/>
      <c r="D56" s="368"/>
      <c r="E56" s="369"/>
      <c r="F56" s="43"/>
      <c r="G56" s="334"/>
      <c r="H56" s="335"/>
      <c r="I56" s="335"/>
      <c r="J56" s="336"/>
      <c r="K56" s="32"/>
      <c r="L56" s="110"/>
      <c r="P56" s="1"/>
      <c r="Q56" s="1"/>
      <c r="R56" s="1"/>
      <c r="S56" s="1"/>
      <c r="T56" s="1"/>
      <c r="U56" s="1"/>
      <c r="V56" s="1"/>
      <c r="W56" s="1"/>
      <c r="X56" s="1"/>
      <c r="Y56" s="1"/>
      <c r="Z56" s="1"/>
      <c r="AA56" s="1"/>
      <c r="AB56" s="1"/>
      <c r="AC56" s="1"/>
      <c r="AD56" s="1"/>
      <c r="AE56" s="1"/>
      <c r="AF56" s="1"/>
      <c r="AG56" s="1"/>
      <c r="AH56" s="1"/>
    </row>
    <row r="57" spans="1:34" ht="22.5">
      <c r="A57" s="37"/>
      <c r="B57" s="36" t="str">
        <f ca="1">B39</f>
        <v>Tin  (*)</v>
      </c>
      <c r="C57" s="31"/>
      <c r="D57" s="368" t="s">
        <v>120</v>
      </c>
      <c r="E57" s="369"/>
      <c r="F57" s="43"/>
      <c r="G57" s="334"/>
      <c r="H57" s="335"/>
      <c r="I57" s="335"/>
      <c r="J57" s="336"/>
      <c r="K57" s="32"/>
      <c r="L57" s="110"/>
      <c r="P57" s="1"/>
      <c r="Q57" s="1"/>
      <c r="R57" s="1"/>
      <c r="S57" s="1"/>
      <c r="T57" s="1"/>
      <c r="U57" s="1"/>
      <c r="V57" s="1"/>
      <c r="W57" s="1"/>
      <c r="X57" s="1"/>
      <c r="Y57" s="1"/>
      <c r="Z57" s="1"/>
      <c r="AA57" s="1"/>
      <c r="AB57" s="1"/>
      <c r="AC57" s="1"/>
      <c r="AD57" s="1"/>
      <c r="AE57" s="1"/>
      <c r="AF57" s="1"/>
      <c r="AG57" s="1"/>
      <c r="AH57" s="1"/>
    </row>
    <row r="58" spans="1:34" ht="22.5">
      <c r="A58" s="37"/>
      <c r="B58" s="36" t="str">
        <f ca="1">B40</f>
        <v xml:space="preserve">Gold  </v>
      </c>
      <c r="C58" s="31"/>
      <c r="D58" s="368"/>
      <c r="E58" s="369"/>
      <c r="F58" s="43"/>
      <c r="G58" s="334"/>
      <c r="H58" s="335"/>
      <c r="I58" s="335"/>
      <c r="J58" s="336"/>
      <c r="K58" s="32"/>
      <c r="L58" s="110"/>
      <c r="P58" s="1"/>
      <c r="Q58" s="1"/>
      <c r="R58" s="1"/>
      <c r="S58" s="1"/>
      <c r="T58" s="1"/>
      <c r="U58" s="1"/>
      <c r="V58" s="1"/>
      <c r="W58" s="1"/>
      <c r="X58" s="1"/>
      <c r="Y58" s="1"/>
      <c r="Z58" s="1"/>
      <c r="AA58" s="1"/>
      <c r="AB58" s="1"/>
      <c r="AC58" s="1"/>
      <c r="AD58" s="1"/>
      <c r="AE58" s="1"/>
      <c r="AF58" s="1"/>
      <c r="AG58" s="1"/>
      <c r="AH58" s="1"/>
    </row>
    <row r="59" spans="1:34" ht="22.5">
      <c r="A59" s="37"/>
      <c r="B59" s="36" t="str">
        <f ca="1">B41</f>
        <v xml:space="preserve">Tungsten  </v>
      </c>
      <c r="C59" s="31"/>
      <c r="D59" s="368"/>
      <c r="E59" s="369"/>
      <c r="F59" s="43"/>
      <c r="G59" s="334"/>
      <c r="H59" s="335"/>
      <c r="I59" s="335"/>
      <c r="J59" s="336"/>
      <c r="K59" s="32"/>
      <c r="L59" s="110"/>
      <c r="P59" s="1"/>
      <c r="Q59" s="1"/>
      <c r="R59" s="1"/>
      <c r="S59" s="1"/>
      <c r="T59" s="1"/>
      <c r="U59" s="1"/>
      <c r="V59" s="1"/>
      <c r="W59" s="1"/>
      <c r="X59" s="1"/>
      <c r="Y59" s="1"/>
      <c r="Z59" s="1"/>
      <c r="AA59" s="1"/>
      <c r="AB59" s="1"/>
      <c r="AC59" s="1"/>
      <c r="AD59" s="1"/>
      <c r="AE59" s="1"/>
      <c r="AF59" s="1"/>
      <c r="AG59" s="1"/>
      <c r="AH59" s="1"/>
    </row>
    <row r="60" spans="1:34" ht="15.75">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 customHeight="1">
      <c r="A61" s="37"/>
      <c r="B61" s="288" t="str">
        <f ca="1">OFFSET(L!$C$1,MATCH("Declaration"&amp;ADDRESS(ROW(),COLUMN(),4),L!$A:$A,0)-1,SL,,)&amp;Q$37</f>
        <v>7) Have you identified all of the smelters supplying the 3TG to your supply chain?  (*)</v>
      </c>
      <c r="C61" s="8"/>
      <c r="D61" s="331" t="str">
        <f ca="1">D25</f>
        <v>Answer</v>
      </c>
      <c r="E61" s="331"/>
      <c r="F61" s="16"/>
      <c r="G61" s="40" t="str">
        <f ca="1">G25</f>
        <v>Comments</v>
      </c>
      <c r="H61" s="373"/>
      <c r="I61" s="373"/>
      <c r="J61" s="373"/>
      <c r="K61" s="32"/>
      <c r="L61" s="105" t="s">
        <v>103</v>
      </c>
      <c r="M61" s="106"/>
      <c r="P61" s="1"/>
      <c r="Q61" s="1"/>
      <c r="R61" s="1"/>
      <c r="S61" s="1"/>
      <c r="T61" s="1"/>
      <c r="U61" s="1"/>
      <c r="V61" s="1"/>
      <c r="W61" s="1"/>
      <c r="X61" s="1"/>
      <c r="Y61" s="1"/>
      <c r="Z61" s="1"/>
      <c r="AA61" s="1"/>
      <c r="AB61" s="1"/>
      <c r="AC61" s="1"/>
      <c r="AD61" s="1"/>
      <c r="AE61" s="1"/>
      <c r="AF61" s="1"/>
      <c r="AG61" s="1"/>
      <c r="AH61" s="1"/>
    </row>
    <row r="62" spans="1:34" ht="22.5">
      <c r="A62" s="37"/>
      <c r="B62" s="36" t="str">
        <f ca="1">B38</f>
        <v xml:space="preserve">Tantalum  </v>
      </c>
      <c r="C62" s="8"/>
      <c r="D62" s="332"/>
      <c r="E62" s="333"/>
      <c r="F62" s="43"/>
      <c r="G62" s="334"/>
      <c r="H62" s="335"/>
      <c r="I62" s="335"/>
      <c r="J62" s="336"/>
      <c r="K62" s="32"/>
      <c r="L62" s="110"/>
      <c r="P62" s="1"/>
      <c r="Q62" s="1"/>
      <c r="R62" s="1"/>
      <c r="S62" s="1"/>
      <c r="T62" s="1"/>
      <c r="U62" s="1"/>
      <c r="V62" s="1"/>
      <c r="W62" s="1"/>
      <c r="X62" s="1"/>
      <c r="Y62" s="1"/>
      <c r="Z62" s="1"/>
      <c r="AA62" s="1"/>
      <c r="AB62" s="1"/>
      <c r="AC62" s="1"/>
      <c r="AD62" s="1"/>
      <c r="AE62" s="1"/>
      <c r="AF62" s="1"/>
      <c r="AG62" s="1"/>
      <c r="AH62" s="1"/>
    </row>
    <row r="63" spans="1:34" ht="22.5">
      <c r="A63" s="37"/>
      <c r="B63" s="36" t="str">
        <f ca="1">B39</f>
        <v>Tin  (*)</v>
      </c>
      <c r="C63" s="8"/>
      <c r="D63" s="326" t="s">
        <v>117</v>
      </c>
      <c r="E63" s="327"/>
      <c r="F63" s="43"/>
      <c r="G63" s="334"/>
      <c r="H63" s="335"/>
      <c r="I63" s="335"/>
      <c r="J63" s="336"/>
      <c r="K63" s="32"/>
      <c r="L63" s="110"/>
      <c r="P63" s="1"/>
      <c r="Q63" s="1"/>
      <c r="R63" s="1"/>
      <c r="S63" s="1"/>
      <c r="T63" s="1"/>
      <c r="U63" s="1"/>
      <c r="V63" s="1"/>
      <c r="W63" s="1"/>
      <c r="X63" s="1"/>
      <c r="Y63" s="1"/>
      <c r="Z63" s="1"/>
      <c r="AA63" s="1"/>
      <c r="AB63" s="1"/>
      <c r="AC63" s="1"/>
      <c r="AD63" s="1"/>
      <c r="AE63" s="1"/>
      <c r="AF63" s="1"/>
      <c r="AG63" s="1"/>
      <c r="AH63" s="1"/>
    </row>
    <row r="64" spans="1:34" ht="22.5">
      <c r="A64" s="37"/>
      <c r="B64" s="36" t="str">
        <f ca="1">B40</f>
        <v xml:space="preserve">Gold  </v>
      </c>
      <c r="C64" s="8"/>
      <c r="D64" s="326"/>
      <c r="E64" s="327"/>
      <c r="F64" s="43"/>
      <c r="G64" s="334"/>
      <c r="H64" s="335"/>
      <c r="I64" s="335"/>
      <c r="J64" s="336"/>
      <c r="K64" s="32"/>
      <c r="L64" s="110"/>
      <c r="P64" s="1"/>
      <c r="Q64" s="1"/>
      <c r="R64" s="1"/>
      <c r="S64" s="1"/>
      <c r="T64" s="1"/>
      <c r="U64" s="1"/>
      <c r="V64" s="1"/>
      <c r="W64" s="1"/>
      <c r="X64" s="1"/>
      <c r="Y64" s="1"/>
      <c r="Z64" s="1"/>
      <c r="AA64" s="1"/>
      <c r="AB64" s="1"/>
      <c r="AC64" s="1"/>
      <c r="AD64" s="1"/>
      <c r="AE64" s="1"/>
      <c r="AF64" s="1"/>
      <c r="AG64" s="1"/>
      <c r="AH64" s="1"/>
    </row>
    <row r="65" spans="1:34" ht="22.5">
      <c r="A65" s="37"/>
      <c r="B65" s="36" t="str">
        <f ca="1">B41</f>
        <v xml:space="preserve">Tungsten  </v>
      </c>
      <c r="C65" s="8"/>
      <c r="D65" s="326"/>
      <c r="E65" s="327"/>
      <c r="F65" s="43"/>
      <c r="G65" s="334"/>
      <c r="H65" s="335"/>
      <c r="I65" s="335"/>
      <c r="J65" s="336"/>
      <c r="K65" s="32"/>
      <c r="L65" s="110"/>
      <c r="P65" s="1"/>
      <c r="Q65" s="1"/>
      <c r="R65" s="1"/>
      <c r="S65" s="1"/>
      <c r="T65" s="1"/>
      <c r="U65" s="1"/>
      <c r="V65" s="1"/>
      <c r="W65" s="1"/>
      <c r="X65" s="1"/>
      <c r="Y65" s="1"/>
      <c r="Z65" s="1"/>
      <c r="AA65" s="1"/>
      <c r="AB65" s="1"/>
      <c r="AC65" s="1"/>
      <c r="AD65" s="1"/>
      <c r="AE65" s="1"/>
      <c r="AF65" s="1"/>
      <c r="AG65" s="1"/>
      <c r="AH65" s="1"/>
    </row>
    <row r="66" spans="1:34" ht="15.75">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 customHeight="1">
      <c r="A67" s="37"/>
      <c r="B67" s="40" t="str">
        <f ca="1">OFFSET(L!$C$1,MATCH("Declaration"&amp;ADDRESS(ROW(),COLUMN(),4),L!$A:$A,0)-1,SL,,)&amp;Q$37</f>
        <v>8) Has all applicable smelter information received by your company been reported in this declaration?  (*)</v>
      </c>
      <c r="C67" s="8"/>
      <c r="D67" s="331" t="str">
        <f ca="1">D25</f>
        <v>Answer</v>
      </c>
      <c r="E67" s="331"/>
      <c r="F67" s="16"/>
      <c r="G67" s="40" t="str">
        <f ca="1">G25</f>
        <v>Comments</v>
      </c>
      <c r="H67" s="373" t="str">
        <f>IF(Q75="(*)","Click here to enter smelter names","")</f>
        <v/>
      </c>
      <c r="I67" s="373"/>
      <c r="J67" s="373"/>
      <c r="K67" s="32"/>
      <c r="L67" s="105" t="s">
        <v>103</v>
      </c>
      <c r="M67" s="106"/>
      <c r="P67" s="1"/>
      <c r="Q67" s="1"/>
      <c r="R67" s="1"/>
      <c r="S67" s="1"/>
      <c r="T67" s="1"/>
      <c r="U67" s="1"/>
      <c r="V67" s="1"/>
      <c r="W67" s="1"/>
      <c r="X67" s="1"/>
      <c r="Y67" s="1"/>
      <c r="Z67" s="1"/>
      <c r="AA67" s="1"/>
      <c r="AB67" s="1"/>
      <c r="AC67" s="1"/>
      <c r="AD67" s="1"/>
      <c r="AE67" s="1"/>
      <c r="AF67" s="1"/>
      <c r="AG67" s="1"/>
      <c r="AH67" s="1"/>
    </row>
    <row r="68" spans="1:34" ht="22.5">
      <c r="A68" s="37"/>
      <c r="B68" s="36" t="str">
        <f ca="1">B38</f>
        <v xml:space="preserve">Tantalum  </v>
      </c>
      <c r="C68" s="31"/>
      <c r="D68" s="326"/>
      <c r="E68" s="327"/>
      <c r="F68" s="44"/>
      <c r="G68" s="334"/>
      <c r="H68" s="335"/>
      <c r="I68" s="335"/>
      <c r="J68" s="336"/>
      <c r="K68" s="32"/>
      <c r="L68" s="110"/>
      <c r="P68" s="1"/>
      <c r="Q68" s="1"/>
      <c r="R68" s="1"/>
      <c r="S68" s="1"/>
      <c r="T68" s="1"/>
      <c r="U68" s="1"/>
      <c r="V68" s="1"/>
      <c r="W68" s="1"/>
      <c r="X68" s="1"/>
      <c r="Y68" s="1"/>
      <c r="Z68" s="1"/>
      <c r="AA68" s="1"/>
      <c r="AB68" s="1"/>
      <c r="AC68" s="1"/>
      <c r="AD68" s="1"/>
      <c r="AE68" s="1"/>
      <c r="AF68" s="1"/>
      <c r="AG68" s="1"/>
      <c r="AH68" s="1"/>
    </row>
    <row r="69" spans="1:34" ht="22.5">
      <c r="A69" s="37"/>
      <c r="B69" s="36" t="str">
        <f ca="1">B39</f>
        <v>Tin  (*)</v>
      </c>
      <c r="C69" s="31"/>
      <c r="D69" s="326" t="s">
        <v>117</v>
      </c>
      <c r="E69" s="327"/>
      <c r="F69" s="44"/>
      <c r="G69" s="334"/>
      <c r="H69" s="335"/>
      <c r="I69" s="335"/>
      <c r="J69" s="336"/>
      <c r="K69" s="32"/>
      <c r="L69" s="110"/>
      <c r="P69" s="1"/>
      <c r="Q69" s="1"/>
      <c r="R69" s="1"/>
      <c r="S69" s="1"/>
      <c r="T69" s="1"/>
      <c r="U69" s="1"/>
      <c r="V69" s="1"/>
      <c r="W69" s="1"/>
      <c r="X69" s="1"/>
      <c r="Y69" s="1"/>
      <c r="Z69" s="1"/>
      <c r="AA69" s="1"/>
      <c r="AB69" s="1"/>
      <c r="AC69" s="1"/>
      <c r="AD69" s="1"/>
      <c r="AE69" s="1"/>
      <c r="AF69" s="1"/>
      <c r="AG69" s="1"/>
      <c r="AH69" s="1"/>
    </row>
    <row r="70" spans="1:34" ht="22.5">
      <c r="A70" s="37"/>
      <c r="B70" s="36" t="str">
        <f ca="1">B40</f>
        <v xml:space="preserve">Gold  </v>
      </c>
      <c r="C70" s="31"/>
      <c r="D70" s="326"/>
      <c r="E70" s="327"/>
      <c r="F70" s="44"/>
      <c r="G70" s="334"/>
      <c r="H70" s="335"/>
      <c r="I70" s="335"/>
      <c r="J70" s="336"/>
      <c r="K70" s="32"/>
      <c r="L70" s="110"/>
      <c r="P70" s="1"/>
      <c r="Q70" s="1"/>
      <c r="R70" s="1"/>
      <c r="S70" s="1"/>
      <c r="T70" s="1"/>
      <c r="U70" s="1"/>
      <c r="V70" s="1"/>
      <c r="W70" s="1"/>
      <c r="X70" s="1"/>
      <c r="Y70" s="1"/>
      <c r="Z70" s="1"/>
      <c r="AA70" s="1"/>
      <c r="AB70" s="1"/>
      <c r="AC70" s="1"/>
      <c r="AD70" s="1"/>
      <c r="AE70" s="1"/>
      <c r="AF70" s="1"/>
      <c r="AG70" s="1"/>
      <c r="AH70" s="1"/>
    </row>
    <row r="71" spans="1:34" ht="22.5">
      <c r="A71" s="34"/>
      <c r="B71" s="36" t="str">
        <f ca="1">B41</f>
        <v xml:space="preserve">Tungsten  </v>
      </c>
      <c r="C71" s="45"/>
      <c r="D71" s="326"/>
      <c r="E71" s="327"/>
      <c r="F71" s="46"/>
      <c r="G71" s="334"/>
      <c r="H71" s="335"/>
      <c r="I71" s="335"/>
      <c r="J71" s="336"/>
      <c r="K71" s="35"/>
      <c r="L71" s="111"/>
      <c r="P71" s="1"/>
      <c r="Q71" s="1"/>
      <c r="R71" s="1"/>
      <c r="S71" s="1"/>
      <c r="T71" s="1"/>
      <c r="U71" s="1"/>
      <c r="V71" s="1"/>
      <c r="W71" s="1"/>
      <c r="X71" s="1"/>
      <c r="Y71" s="1"/>
      <c r="Z71" s="1"/>
      <c r="AA71" s="1"/>
      <c r="AB71" s="1"/>
      <c r="AC71" s="1"/>
      <c r="AD71" s="1"/>
      <c r="AE71" s="1"/>
      <c r="AF71" s="1"/>
      <c r="AG71" s="1"/>
      <c r="AH71" s="1"/>
    </row>
    <row r="72" spans="1:34" ht="15">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5">
      <c r="A73" s="37"/>
      <c r="B73" s="386" t="str">
        <f ca="1">OFFSET(L!$C$1,MATCH("Declaration"&amp;ADDRESS(ROW(),COLUMN(),4),L!$A:$A,0)-1,SL,,)</f>
        <v>Answer the Following Questions at a Company Level</v>
      </c>
      <c r="C73" s="386"/>
      <c r="D73" s="386"/>
      <c r="E73" s="386"/>
      <c r="F73" s="386"/>
      <c r="G73" s="386"/>
      <c r="H73" s="386"/>
      <c r="I73" s="386"/>
      <c r="J73" s="386"/>
      <c r="K73" s="32"/>
      <c r="L73" s="94"/>
      <c r="P73" s="1"/>
      <c r="Q73" s="1"/>
      <c r="R73" s="1"/>
      <c r="S73" s="1"/>
      <c r="T73" s="1"/>
      <c r="U73" s="1"/>
      <c r="V73" s="1"/>
      <c r="W73" s="1"/>
      <c r="X73" s="1"/>
      <c r="Y73" s="1"/>
      <c r="Z73" s="1"/>
      <c r="AA73" s="1"/>
      <c r="AB73" s="1"/>
      <c r="AC73" s="1"/>
      <c r="AD73" s="1"/>
      <c r="AE73" s="1"/>
      <c r="AF73" s="1"/>
      <c r="AG73" s="1"/>
      <c r="AH73" s="1"/>
    </row>
    <row r="74" spans="1:34" ht="15.75">
      <c r="A74" s="47"/>
      <c r="B74" s="48" t="str">
        <f ca="1">OFFSET(L!$C$1,MATCH("Declaration"&amp;ADDRESS(ROW(),COLUMN(),4),L!$A:$A,0)-1,SL,,)</f>
        <v>Question</v>
      </c>
      <c r="C74" s="75"/>
      <c r="D74" s="337" t="str">
        <f ca="1">D25</f>
        <v>Answer</v>
      </c>
      <c r="E74" s="337"/>
      <c r="F74" s="49"/>
      <c r="G74" s="337" t="str">
        <f ca="1">G25</f>
        <v>Comments</v>
      </c>
      <c r="H74" s="337" t="e">
        <f>HLOOKUP(SL,LT,$O74,0)</f>
        <v>#NAME?</v>
      </c>
      <c r="I74" s="337"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0">
      <c r="A75" s="37"/>
      <c r="B75" s="52" t="str">
        <f ca="1">OFFSET(L!$C$1,MATCH("Declaration"&amp;ADDRESS(ROW(),COLUMN(),4),L!$A:$A,0)-1,SL,,)&amp;$Q$37</f>
        <v>A. Have you established a responsible minerals sourcing policy? (*)</v>
      </c>
      <c r="C75" s="53"/>
      <c r="D75" s="326" t="s">
        <v>117</v>
      </c>
      <c r="E75" s="327"/>
      <c r="F75" s="53"/>
      <c r="G75" s="334"/>
      <c r="H75" s="335"/>
      <c r="I75" s="335"/>
      <c r="J75" s="336"/>
      <c r="K75" s="32"/>
      <c r="L75" s="107" t="s">
        <v>100</v>
      </c>
      <c r="M75" s="106"/>
      <c r="P75" s="1"/>
      <c r="Q75" s="1"/>
      <c r="R75" s="1"/>
      <c r="S75" s="1"/>
      <c r="T75" s="1"/>
      <c r="U75" s="1"/>
      <c r="V75" s="1"/>
      <c r="W75" s="1"/>
      <c r="X75" s="1"/>
      <c r="Y75" s="1"/>
      <c r="Z75" s="1"/>
      <c r="AA75" s="1"/>
      <c r="AB75" s="1"/>
      <c r="AC75" s="1"/>
      <c r="AD75" s="1"/>
      <c r="AE75" s="1"/>
      <c r="AF75" s="1"/>
      <c r="AG75" s="1"/>
      <c r="AH75" s="1"/>
    </row>
    <row r="76" spans="1:34" ht="15.75">
      <c r="A76" s="37"/>
      <c r="B76" s="54"/>
      <c r="C76" s="10"/>
      <c r="D76" s="292"/>
      <c r="E76" s="292"/>
      <c r="F76" s="10"/>
      <c r="G76" s="381"/>
      <c r="H76" s="381"/>
      <c r="I76" s="381"/>
      <c r="J76" s="381"/>
      <c r="K76" s="32"/>
      <c r="L76" s="107"/>
      <c r="M76" s="106"/>
      <c r="P76" s="1"/>
      <c r="Q76" s="1"/>
      <c r="R76" s="1"/>
      <c r="S76" s="1"/>
      <c r="T76" s="1"/>
      <c r="U76" s="1"/>
      <c r="V76" s="1"/>
      <c r="W76" s="1"/>
      <c r="X76" s="1"/>
      <c r="Y76" s="1"/>
      <c r="Z76" s="1"/>
      <c r="AA76" s="1"/>
      <c r="AB76" s="1"/>
      <c r="AC76" s="1"/>
      <c r="AD76" s="1"/>
      <c r="AE76" s="1"/>
      <c r="AF76" s="1"/>
      <c r="AG76" s="1"/>
      <c r="AH76" s="1"/>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6" t="s">
        <v>117</v>
      </c>
      <c r="E77" s="327"/>
      <c r="F77" s="53"/>
      <c r="G77" s="338" t="s">
        <v>15786</v>
      </c>
      <c r="H77" s="339"/>
      <c r="I77" s="339"/>
      <c r="J77" s="340"/>
      <c r="K77" s="32"/>
      <c r="L77" s="107" t="s">
        <v>100</v>
      </c>
      <c r="M77" s="106"/>
      <c r="P77" s="1"/>
      <c r="Q77" s="1"/>
      <c r="R77" s="1"/>
      <c r="S77" s="1"/>
      <c r="T77" s="1"/>
      <c r="U77" s="1"/>
      <c r="V77" s="1"/>
      <c r="W77" s="1"/>
      <c r="X77" s="1"/>
      <c r="Y77" s="1"/>
      <c r="Z77" s="1"/>
      <c r="AA77" s="1"/>
      <c r="AB77" s="1"/>
      <c r="AC77" s="1"/>
      <c r="AD77" s="1"/>
      <c r="AE77" s="1"/>
      <c r="AF77" s="1"/>
      <c r="AG77" s="1"/>
      <c r="AH77" s="1"/>
    </row>
    <row r="78" spans="1:34" ht="15.75">
      <c r="A78" s="37"/>
      <c r="B78" s="54"/>
      <c r="C78" s="10"/>
      <c r="D78" s="292"/>
      <c r="E78" s="292"/>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6" t="s">
        <v>117</v>
      </c>
      <c r="E79" s="327"/>
      <c r="F79" s="53"/>
      <c r="G79" s="334"/>
      <c r="H79" s="335"/>
      <c r="I79" s="335"/>
      <c r="J79" s="336"/>
      <c r="K79" s="32"/>
      <c r="L79" s="107" t="s">
        <v>100</v>
      </c>
      <c r="M79" s="106"/>
      <c r="P79" s="1"/>
      <c r="Q79" s="1"/>
      <c r="R79" s="1"/>
      <c r="S79" s="1"/>
      <c r="T79" s="1"/>
      <c r="U79" s="1"/>
      <c r="V79" s="1"/>
      <c r="W79" s="1"/>
      <c r="X79" s="1"/>
      <c r="Y79" s="1"/>
      <c r="Z79" s="1"/>
      <c r="AA79" s="1"/>
      <c r="AB79" s="1"/>
      <c r="AC79" s="1"/>
      <c r="AD79" s="1"/>
      <c r="AE79" s="1"/>
      <c r="AF79" s="1"/>
      <c r="AG79" s="1"/>
      <c r="AH79" s="1"/>
    </row>
    <row r="80" spans="1:34" ht="15.75">
      <c r="A80" s="37"/>
      <c r="B80" s="54"/>
      <c r="C80" s="10"/>
      <c r="D80" s="292"/>
      <c r="E80" s="292"/>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6" t="s">
        <v>117</v>
      </c>
      <c r="E81" s="327"/>
      <c r="F81" s="53"/>
      <c r="G81" s="334"/>
      <c r="H81" s="335"/>
      <c r="I81" s="335"/>
      <c r="J81" s="336"/>
      <c r="K81" s="32"/>
      <c r="L81" s="107" t="s">
        <v>103</v>
      </c>
      <c r="M81" s="106"/>
      <c r="P81" s="1"/>
      <c r="Q81" s="1"/>
      <c r="R81" s="1"/>
      <c r="S81" s="1"/>
      <c r="T81" s="1"/>
      <c r="U81" s="1"/>
      <c r="V81" s="1"/>
      <c r="W81" s="1"/>
      <c r="X81" s="1"/>
      <c r="Y81" s="1"/>
      <c r="Z81" s="1"/>
      <c r="AA81" s="1"/>
      <c r="AB81" s="1"/>
      <c r="AC81" s="1"/>
      <c r="AD81" s="1"/>
      <c r="AE81" s="1"/>
      <c r="AF81" s="1"/>
      <c r="AG81" s="1"/>
      <c r="AH81" s="1"/>
    </row>
    <row r="82" spans="1:34" ht="15.75">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6" t="s">
        <v>125</v>
      </c>
      <c r="E83" s="327"/>
      <c r="F83" s="53"/>
      <c r="G83" s="334" t="s">
        <v>15787</v>
      </c>
      <c r="H83" s="335"/>
      <c r="I83" s="335"/>
      <c r="J83" s="336"/>
      <c r="K83" s="32"/>
      <c r="L83" s="107" t="s">
        <v>100</v>
      </c>
      <c r="M83" s="106"/>
      <c r="P83" s="1"/>
      <c r="Q83" s="1"/>
      <c r="R83" s="1"/>
      <c r="S83" s="1"/>
      <c r="T83" s="1"/>
      <c r="U83" s="1"/>
      <c r="V83" s="1"/>
      <c r="W83" s="1"/>
      <c r="X83" s="1"/>
      <c r="Y83" s="1"/>
      <c r="Z83" s="1"/>
      <c r="AA83" s="1"/>
      <c r="AB83" s="1"/>
      <c r="AC83" s="1"/>
      <c r="AD83" s="1"/>
      <c r="AE83" s="1"/>
      <c r="AF83" s="1"/>
      <c r="AG83" s="1"/>
      <c r="AH83" s="1"/>
    </row>
    <row r="84" spans="1:34" ht="15">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79" t="s">
        <v>117</v>
      </c>
      <c r="E85" s="380"/>
      <c r="F85" s="53"/>
      <c r="G85" s="334"/>
      <c r="H85" s="335"/>
      <c r="I85" s="335"/>
      <c r="J85" s="336"/>
      <c r="K85" s="32"/>
      <c r="L85" s="107" t="s">
        <v>100</v>
      </c>
      <c r="M85" s="106"/>
      <c r="P85" s="1"/>
      <c r="Q85" s="1"/>
      <c r="R85" s="1"/>
      <c r="S85" s="1"/>
      <c r="T85" s="1"/>
      <c r="U85" s="1"/>
      <c r="V85" s="1"/>
      <c r="W85" s="1"/>
      <c r="X85" s="1"/>
      <c r="Y85" s="1"/>
      <c r="Z85" s="1"/>
      <c r="AA85" s="1"/>
      <c r="AB85" s="1"/>
      <c r="AC85" s="1"/>
      <c r="AD85" s="1"/>
      <c r="AE85" s="1"/>
      <c r="AF85" s="1"/>
      <c r="AG85" s="1"/>
      <c r="AH85" s="1"/>
    </row>
    <row r="86" spans="1:34" ht="15.75">
      <c r="A86" s="37"/>
      <c r="B86" s="57"/>
      <c r="C86" s="10"/>
      <c r="D86" s="292"/>
      <c r="E86" s="292"/>
      <c r="F86" s="11"/>
      <c r="G86" s="381"/>
      <c r="H86" s="381"/>
      <c r="I86" s="381"/>
      <c r="J86" s="381"/>
      <c r="K86" s="32"/>
      <c r="L86" s="107"/>
      <c r="M86" s="106"/>
      <c r="P86" s="1"/>
      <c r="Q86" s="1"/>
      <c r="R86" s="1"/>
      <c r="S86" s="1"/>
      <c r="T86" s="1"/>
      <c r="U86" s="1"/>
      <c r="V86" s="1"/>
      <c r="W86" s="1"/>
      <c r="X86" s="1"/>
      <c r="Y86" s="1"/>
      <c r="Z86" s="1"/>
      <c r="AA86" s="1"/>
      <c r="AB86" s="1"/>
      <c r="AC86" s="1"/>
      <c r="AD86" s="1"/>
      <c r="AE86" s="1"/>
      <c r="AF86" s="1"/>
      <c r="AG86" s="1"/>
      <c r="AH86" s="1"/>
    </row>
    <row r="87" spans="1:34" ht="37.35" customHeight="1">
      <c r="A87" s="37"/>
      <c r="B87" s="52" t="str">
        <f ca="1">OFFSET(L!$C$1,MATCH("Declaration"&amp;ADDRESS(ROW(),COLUMN(),4),L!$A:$A,0)-1,SL,,)&amp;$Q$37</f>
        <v>G. Does your review process include corrective action management? (*)</v>
      </c>
      <c r="C87" s="53"/>
      <c r="D87" s="326" t="s">
        <v>117</v>
      </c>
      <c r="E87" s="327"/>
      <c r="F87" s="53"/>
      <c r="G87" s="334"/>
      <c r="H87" s="335"/>
      <c r="I87" s="335"/>
      <c r="J87" s="336"/>
      <c r="K87" s="32"/>
      <c r="L87" s="107" t="s">
        <v>103</v>
      </c>
      <c r="M87" s="106"/>
      <c r="P87" s="1"/>
      <c r="Q87" s="1"/>
      <c r="R87" s="1"/>
      <c r="S87" s="1"/>
      <c r="T87" s="1"/>
      <c r="U87" s="1"/>
      <c r="V87" s="1"/>
      <c r="W87" s="1"/>
      <c r="X87" s="1"/>
      <c r="Y87" s="1"/>
      <c r="Z87" s="1"/>
      <c r="AA87" s="1"/>
      <c r="AB87" s="1"/>
      <c r="AC87" s="1"/>
      <c r="AD87" s="1"/>
      <c r="AE87" s="1"/>
      <c r="AF87" s="1"/>
      <c r="AG87" s="1"/>
      <c r="AH87" s="1"/>
    </row>
    <row r="88" spans="1:34" ht="15.75">
      <c r="A88" s="37"/>
      <c r="B88" s="54"/>
      <c r="C88" s="10"/>
      <c r="D88" s="292"/>
      <c r="E88" s="292"/>
      <c r="F88" s="11"/>
      <c r="G88" s="382"/>
      <c r="H88" s="382"/>
      <c r="I88" s="382"/>
      <c r="J88" s="382"/>
      <c r="K88" s="32"/>
      <c r="L88" s="107"/>
      <c r="M88" s="106"/>
      <c r="P88" s="1"/>
      <c r="Q88" s="1"/>
      <c r="R88" s="1"/>
      <c r="S88" s="1"/>
      <c r="T88" s="1"/>
      <c r="U88" s="1"/>
      <c r="V88" s="1"/>
      <c r="W88" s="1"/>
      <c r="X88" s="1"/>
      <c r="Y88" s="1"/>
      <c r="Z88" s="1"/>
      <c r="AA88" s="1"/>
      <c r="AB88" s="1"/>
      <c r="AC88" s="1"/>
      <c r="AD88" s="1"/>
      <c r="AE88" s="1"/>
      <c r="AF88" s="1"/>
      <c r="AG88" s="1"/>
      <c r="AH88" s="1"/>
    </row>
    <row r="89" spans="1:34" ht="30">
      <c r="A89" s="37"/>
      <c r="B89" s="52" t="str">
        <f ca="1">OFFSET(L!$C$1,MATCH("Declaration"&amp;ADDRESS(ROW(),COLUMN(),4),L!$A:$A,0)-1,SL,,)&amp;$Q$37</f>
        <v>H. Is your company required to file an annual conflict minerals disclosure? (*)</v>
      </c>
      <c r="C89" s="53"/>
      <c r="D89" s="326" t="s">
        <v>118</v>
      </c>
      <c r="E89" s="327"/>
      <c r="F89" s="53"/>
      <c r="G89" s="334"/>
      <c r="H89" s="335"/>
      <c r="I89" s="335"/>
      <c r="J89" s="336"/>
      <c r="K89" s="32"/>
      <c r="L89" s="107" t="s">
        <v>100</v>
      </c>
      <c r="M89" s="106"/>
      <c r="P89" s="1"/>
      <c r="Q89" s="1"/>
      <c r="R89" s="1"/>
      <c r="S89" s="1"/>
      <c r="T89" s="1"/>
      <c r="U89" s="1"/>
      <c r="V89" s="1"/>
      <c r="W89" s="1"/>
      <c r="X89" s="1"/>
      <c r="Y89" s="1"/>
      <c r="Z89" s="1"/>
      <c r="AA89" s="1"/>
      <c r="AB89" s="1"/>
      <c r="AC89" s="1"/>
      <c r="AD89" s="1"/>
      <c r="AE89" s="1"/>
      <c r="AF89" s="1"/>
      <c r="AG89" s="1"/>
      <c r="AH89" s="1"/>
    </row>
    <row r="90" spans="1:34" ht="15">
      <c r="A90" s="37"/>
      <c r="B90" s="378" t="str">
        <f>IF(OR($D$8="",$I$3=""),"","Click here to check required fields completion")</f>
        <v/>
      </c>
      <c r="C90" s="378"/>
      <c r="D90" s="378"/>
      <c r="E90" s="378"/>
      <c r="F90" s="378"/>
      <c r="G90" s="378"/>
      <c r="H90" s="378"/>
      <c r="I90" s="378"/>
      <c r="J90" s="378"/>
      <c r="K90" s="32"/>
      <c r="L90" s="94"/>
      <c r="P90" s="1"/>
      <c r="Q90" s="1"/>
      <c r="R90" s="1"/>
      <c r="S90" s="1"/>
      <c r="T90" s="1"/>
      <c r="U90" s="1"/>
      <c r="V90" s="1"/>
      <c r="W90" s="1"/>
      <c r="X90" s="1"/>
      <c r="Y90" s="1"/>
      <c r="Z90" s="1"/>
      <c r="AA90" s="1"/>
      <c r="AB90" s="1"/>
      <c r="AC90" s="1"/>
      <c r="AD90" s="1"/>
      <c r="AE90" s="1"/>
      <c r="AF90" s="1"/>
      <c r="AG90" s="1"/>
      <c r="AH90" s="1"/>
    </row>
    <row r="91" spans="1:34" ht="15.75" thickBot="1">
      <c r="A91" s="376" t="str">
        <f ca="1">OFFSET(L!$C$1,MATCH("General"&amp;"Cpy",L!$A:$A,0)-1,SL,,)</f>
        <v>© 2023 Responsible Minerals Initiative. All rights reserved.</v>
      </c>
      <c r="B91" s="377"/>
      <c r="C91" s="377"/>
      <c r="D91" s="377"/>
      <c r="E91" s="377"/>
      <c r="F91" s="377"/>
      <c r="G91" s="377"/>
      <c r="H91" s="377"/>
      <c r="I91" s="377"/>
      <c r="J91" s="377"/>
      <c r="K91" s="58"/>
      <c r="L91" s="94"/>
      <c r="P91" s="1"/>
      <c r="Q91" s="1"/>
      <c r="R91" s="1"/>
      <c r="S91" s="1"/>
      <c r="T91" s="1"/>
      <c r="U91" s="1"/>
      <c r="V91" s="1"/>
      <c r="W91" s="1"/>
      <c r="X91" s="1"/>
      <c r="Y91" s="1"/>
      <c r="Z91" s="1"/>
      <c r="AA91" s="1"/>
      <c r="AB91" s="1"/>
      <c r="AC91" s="1"/>
      <c r="AD91" s="1"/>
      <c r="AE91" s="1"/>
      <c r="AF91" s="1"/>
      <c r="AG91" s="1"/>
      <c r="AH91" s="1"/>
    </row>
    <row r="92" spans="1:34" ht="15.75"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117</v>
      </c>
      <c r="D96" s="272" t="str">
        <f>IF(AND(OR($D$26="Yes",$D$26=""),OR($D$32="Yes",$D$32="")),"Yes","")</f>
        <v/>
      </c>
      <c r="E96" s="272" t="str">
        <f>IF(AND(OR($D$26="Yes",$D$26=""),OR($D$32="Yes",$D$32="")),"100%","")</f>
        <v/>
      </c>
      <c r="G96" s="272" t="str">
        <f>IF(OR($D$26="Yes",$D$26=""),"Yes","")</f>
        <v/>
      </c>
    </row>
    <row r="97" spans="2:7" ht="13.5" hidden="1" customHeight="1">
      <c r="B97" s="52" t="s">
        <v>118</v>
      </c>
      <c r="D97" s="272" t="str">
        <f>IF(AND(OR($D$26="Yes",$D$26=""),OR($D$32="Yes",$D$32="")),"No","")</f>
        <v/>
      </c>
      <c r="E97" s="272" t="str">
        <f>IF(AND(OR($D$26="Yes",$D$26=""),OR($D$32="Yes",$D$32="")),"Greater than 90%","")</f>
        <v/>
      </c>
      <c r="G97" s="272" t="str">
        <f>IF(OR($D$26="Yes",$D$26=""),"No","")</f>
        <v/>
      </c>
    </row>
    <row r="98" spans="2:7" ht="15.75" hidden="1">
      <c r="B98" s="52" t="s">
        <v>119</v>
      </c>
      <c r="D98" s="272" t="str">
        <f>IF(AND(OR($D$26="Yes",$D$26=""),OR($D$32="Yes",$D$32="")),"Unknown","")</f>
        <v/>
      </c>
      <c r="E98" s="272" t="str">
        <f>IF(AND(OR($D$26="Yes",$D$26=""),OR($D$32="Yes",$D$32="")),"Greater than 75%","")</f>
        <v/>
      </c>
      <c r="G98" s="272" t="str">
        <f>IF(OR($D$27="Yes",$D$27=""),"Yes","")</f>
        <v>Yes</v>
      </c>
    </row>
    <row r="99" spans="2:7" ht="15.75" hidden="1">
      <c r="B99" s="181">
        <v>1</v>
      </c>
      <c r="D99" s="272" t="str">
        <f>IF(AND(OR($D$27="Yes",$D$27=""),OR($D$33="Yes",$D$33="")),"Yes","")</f>
        <v>Yes</v>
      </c>
      <c r="E99" s="272" t="str">
        <f>IF(AND(OR($D$26="Yes",$D$26=""),OR($D$32="Yes",$D$32="")),"Greater than 50%","")</f>
        <v/>
      </c>
      <c r="G99" s="272" t="str">
        <f>IF(OR($D$27="Yes",$D$27=""),"No","")</f>
        <v>No</v>
      </c>
    </row>
    <row r="100" spans="2:7" ht="15.75" hidden="1">
      <c r="B100" s="228" t="s">
        <v>120</v>
      </c>
      <c r="D100" s="272" t="str">
        <f>IF(AND(OR($D$27="Yes",$D$27=""),OR($D$33="Yes",$D$33="")),"No","")</f>
        <v>No</v>
      </c>
      <c r="E100" s="272" t="str">
        <f>IF(AND(OR($D$26="Yes",$D$26=""),OR($D$32="Yes",$D$32="")),"50% or less","")</f>
        <v/>
      </c>
      <c r="G100" s="272" t="str">
        <f>IF(OR($D$28="Yes",$D$28=""),"Yes","")</f>
        <v/>
      </c>
    </row>
    <row r="101" spans="2:7" ht="15.75" hidden="1">
      <c r="B101" s="228" t="s">
        <v>121</v>
      </c>
      <c r="D101" s="272" t="str">
        <f>IF(AND(OR($D$27="Yes",$D$27=""),OR($D$33="Yes",$D$33="")),"Unknown","")</f>
        <v>Unknown</v>
      </c>
      <c r="E101" s="272" t="str">
        <f>IF(AND(OR($D$26="Yes",$D$26=""),OR($D$32="Yes",$D$32="")),"None","")</f>
        <v/>
      </c>
      <c r="G101" s="272" t="str">
        <f>IF(OR($D$28="Yes",$D$28=""),"No","")</f>
        <v/>
      </c>
    </row>
    <row r="102" spans="2:7" ht="15.75" hidden="1">
      <c r="B102" s="228" t="s">
        <v>122</v>
      </c>
      <c r="D102" s="272" t="str">
        <f>IF(AND(OR($D$28="Yes",$D$28=""),OR($D$34="Yes",$D$34="")),"Yes","")</f>
        <v/>
      </c>
      <c r="E102" s="272" t="str">
        <f>IF(AND(OR($D$27="Yes",$D$27=""),OR($D$33="Yes",$D$33="")),"100%","")</f>
        <v>100%</v>
      </c>
      <c r="G102" s="272" t="str">
        <f>IF(OR($D$29="Yes",$D$29=""),"Yes","")</f>
        <v/>
      </c>
    </row>
    <row r="103" spans="2:7" ht="15.75" hidden="1">
      <c r="B103" s="228" t="s">
        <v>123</v>
      </c>
      <c r="D103" s="272" t="str">
        <f>IF(AND(OR($D$28="Yes",$D$28=""),OR($D$34="Yes",$D$34="")),"No","")</f>
        <v/>
      </c>
      <c r="E103" s="272" t="str">
        <f>IF(AND(OR($D$27="Yes",$D$27=""),OR($D$33="Yes",$D$33="")),"Greater than 90%","")</f>
        <v>Greater than 90%</v>
      </c>
      <c r="G103" s="272" t="str">
        <f>IF(OR($D$29="Yes",$D$29=""),"No","")</f>
        <v/>
      </c>
    </row>
    <row r="104" spans="2:7" ht="15.75" hidden="1">
      <c r="B104" s="228" t="s">
        <v>124</v>
      </c>
      <c r="D104" s="272" t="str">
        <f>IF(AND(OR($D$28="Yes",$D$28=""),OR($D$34="Yes",$D$34="")),"Unknown","")</f>
        <v/>
      </c>
      <c r="E104" s="272" t="str">
        <f>IF(AND(OR($D$27="Yes",$D$27=""),OR($D$33="Yes",$D$33="")),"Greater than 75%","")</f>
        <v>Greater than 75%</v>
      </c>
    </row>
    <row r="105" spans="2:7" ht="15.75" hidden="1">
      <c r="B105" s="228" t="s">
        <v>125</v>
      </c>
      <c r="D105" s="272" t="str">
        <f>IF(AND(OR($D$29="Yes",$D$29=""),OR($D$35="Yes",$D$35="")),"Yes","")</f>
        <v/>
      </c>
      <c r="E105" s="272" t="str">
        <f>IF(AND(OR($D$27="Yes",$D$27=""),OR($D$33="Yes",$D$33="")),"Greater than 50%","")</f>
        <v>Greater than 50%</v>
      </c>
    </row>
    <row r="106" spans="2:7" ht="15.75" hidden="1">
      <c r="B106" s="228" t="s">
        <v>126</v>
      </c>
      <c r="D106" s="272" t="str">
        <f>IF(AND(OR($D$29="Yes",$D$29=""),OR($D$35="Yes",$D$35="")),"No","")</f>
        <v/>
      </c>
      <c r="E106" s="272" t="str">
        <f>IF(AND(OR($D$27="Yes",$D$27=""),OR($D$33="Yes",$D$33="")),"50% or less","")</f>
        <v>50% or less</v>
      </c>
    </row>
    <row r="107" spans="2:7" ht="15.75" hidden="1">
      <c r="B107" s="228" t="s">
        <v>118</v>
      </c>
      <c r="D107" s="272" t="str">
        <f>IF(AND(OR($D$29="Yes",$D$29=""),OR($D$35="Yes",$D$35="")),"Unknown","")</f>
        <v/>
      </c>
      <c r="E107" s="272" t="str">
        <f>IF(AND(OR($D$27="Yes",$D$27=""),OR($D$33="Yes",$D$33="")),"None","")</f>
        <v>None</v>
      </c>
    </row>
    <row r="108" spans="2:7" ht="15.75" hidden="1">
      <c r="B108" s="228" t="s">
        <v>127</v>
      </c>
      <c r="E108" s="272" t="str">
        <f>IF(AND(OR($D$28="Yes",$D$28=""),OR($D$34="Yes",$D$34="")),"100%","")</f>
        <v/>
      </c>
    </row>
    <row r="109" spans="2:7" ht="15.75" hidden="1">
      <c r="B109" s="228" t="s">
        <v>128</v>
      </c>
      <c r="E109" s="272" t="str">
        <f>IF(AND(OR($D$28="Yes",$D$28=""),OR($D$34="Yes",$D$34="")),"Greater than 90%","")</f>
        <v/>
      </c>
    </row>
    <row r="110" spans="2:7" ht="15.75" hidden="1">
      <c r="B110" s="228" t="s">
        <v>129</v>
      </c>
      <c r="E110" s="272" t="str">
        <f>IF(AND(OR($D$28="Yes",$D$28=""),OR($D$34="Yes",$D$34="")),"Greater than 75%","")</f>
        <v/>
      </c>
    </row>
    <row r="111" spans="2:7" ht="15.75" hidden="1">
      <c r="B111" s="228" t="s">
        <v>118</v>
      </c>
      <c r="E111" s="272" t="str">
        <f>IF(AND(OR($D$28="Yes",$D$28=""),OR($D$34="Yes",$D$34="")),"Greater than 50%","")</f>
        <v/>
      </c>
    </row>
    <row r="112" spans="2:7" ht="15" hidden="1" customHeight="1">
      <c r="E112" s="272" t="str">
        <f>IF(AND(OR($D$28="Yes",$D$28=""),OR($D$34="Yes",$D$34="")),"50% or less","")</f>
        <v/>
      </c>
    </row>
    <row r="113" spans="5:5" ht="15" hidden="1" customHeight="1">
      <c r="E113" s="272" t="str">
        <f>IF(AND(OR($D$28="Yes",$D$28=""),OR($D$34="Yes",$D$34="")),"None","")</f>
        <v/>
      </c>
    </row>
    <row r="114" spans="5:5" ht="15" hidden="1" customHeight="1">
      <c r="E114" s="272" t="str">
        <f>IF(AND(OR($D$29="Yes",$D$29=""),OR($D$35="Yes",$D$35="")),"100%","")</f>
        <v/>
      </c>
    </row>
    <row r="115" spans="5:5" ht="15" hidden="1" customHeight="1">
      <c r="E115" s="272" t="str">
        <f>IF(AND(OR($D$29="Yes",$D$29=""),OR($D$35="Yes",$D$35="")),"Greater than 90%","")</f>
        <v/>
      </c>
    </row>
    <row r="116" spans="5:5" ht="15" hidden="1" customHeight="1">
      <c r="E116" s="272" t="str">
        <f>IF(AND(OR($D$29="Yes",$D$29=""),OR($D$35="Yes",$D$35="")),"Greater than 75%","")</f>
        <v/>
      </c>
    </row>
    <row r="117" spans="5:5" ht="15" hidden="1" customHeight="1">
      <c r="E117" s="272" t="str">
        <f>IF(AND(OR($D$29="Yes",$D$29=""),OR($D$35="Yes",$D$35="")),"Greater than 50%","")</f>
        <v/>
      </c>
    </row>
    <row r="118" spans="5:5" ht="15" hidden="1" customHeight="1">
      <c r="E118" s="272" t="str">
        <f>IF(AND(OR($D$29="Yes",$D$29=""),OR($D$35="Yes",$D$35="")),"50% or less","")</f>
        <v/>
      </c>
    </row>
    <row r="119" spans="5:5" ht="15" hidden="1" customHeight="1">
      <c r="E119" s="27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2526A9-D625-4B2E-9E75-EF4ADE647C90}"/>
    <hyperlink ref="G77" r:id="rId4" xr:uid="{79CF856B-B3AC-4309-A411-D0E404448E6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7" sqref="C17"/>
    </sheetView>
  </sheetViews>
  <sheetFormatPr defaultColWidth="8.875" defaultRowHeight="12.75"/>
  <cols>
    <col min="1" max="1" width="13.625" style="219" customWidth="1"/>
    <col min="2" max="2" width="13.375" style="221" customWidth="1"/>
    <col min="3" max="3" width="40.625" style="221" customWidth="1"/>
    <col min="4" max="4" width="30.625" style="221" customWidth="1"/>
    <col min="5" max="5" width="20.875" style="221" customWidth="1"/>
    <col min="6" max="7" width="13.875" style="221" customWidth="1"/>
    <col min="8" max="8" width="25.125" style="221" customWidth="1"/>
    <col min="9" max="9" width="24.125" style="221" customWidth="1"/>
    <col min="10" max="10" width="18.375" style="221" customWidth="1"/>
    <col min="11" max="11" width="27.375" style="221" customWidth="1"/>
    <col min="12" max="12" width="20.625" style="221" customWidth="1"/>
    <col min="13" max="13" width="35.125" style="221" customWidth="1"/>
    <col min="14" max="14" width="42.125" style="221" customWidth="1"/>
    <col min="15" max="15" width="32.125" style="221" customWidth="1"/>
    <col min="16" max="16" width="22.875" style="221" customWidth="1"/>
    <col min="17" max="17" width="43.625" style="221" customWidth="1"/>
    <col min="18" max="18" width="35.875" style="221" hidden="1" customWidth="1"/>
    <col min="19" max="20" width="17.875" style="221" hidden="1" customWidth="1"/>
    <col min="21" max="21" width="8.875" style="221" hidden="1" customWidth="1"/>
    <col min="22" max="22" width="6.125" style="221" hidden="1" customWidth="1"/>
    <col min="23" max="23" width="8.625" style="221" hidden="1" customWidth="1"/>
    <col min="24" max="24" width="8.875" style="221" hidden="1" customWidth="1"/>
    <col min="25" max="27" width="4.375" style="221" hidden="1" customWidth="1"/>
    <col min="28" max="28" width="7.875" style="221" hidden="1" customWidth="1"/>
    <col min="29" max="33" width="4.375" style="221" hidden="1" customWidth="1"/>
    <col min="34" max="34" width="14.625" style="221" hidden="1" customWidth="1"/>
    <col min="35" max="39" width="8.875" style="221" customWidth="1"/>
    <col min="40" max="16384" width="8.875" style="221"/>
  </cols>
  <sheetData>
    <row r="1" spans="1:34" s="213" customFormat="1" ht="16.149999999999999" customHeight="1" thickTop="1">
      <c r="A1" s="212"/>
      <c r="B1" s="150"/>
      <c r="C1" s="150"/>
      <c r="D1" s="150"/>
      <c r="E1" s="150"/>
      <c r="F1" s="150"/>
      <c r="G1" s="150"/>
      <c r="H1" s="150"/>
      <c r="I1" s="150"/>
      <c r="J1" s="150"/>
      <c r="K1" s="150"/>
      <c r="L1" s="150"/>
      <c r="M1" s="150"/>
      <c r="N1" s="150"/>
      <c r="O1" s="150"/>
      <c r="P1" s="150"/>
      <c r="Q1" s="151"/>
      <c r="R1" s="114"/>
      <c r="S1" s="114"/>
      <c r="T1" s="114"/>
      <c r="U1" s="213" t="s">
        <v>130</v>
      </c>
    </row>
    <row r="2" spans="1:34" s="213" customFormat="1" ht="27">
      <c r="A2" s="163"/>
      <c r="B2" s="180" t="str">
        <f ca="1">OFFSET(L!$C$1,MATCH("Smelter List"&amp;ADDRESS(ROW(),COLUMN(),4),L!$A:$A,0)-1,SL,,)</f>
        <v>TO BEGIN:</v>
      </c>
      <c r="C2" s="165"/>
      <c r="D2" s="165"/>
      <c r="E2" s="165"/>
      <c r="F2" s="186"/>
      <c r="G2" s="186"/>
      <c r="H2" s="186"/>
      <c r="I2" s="187"/>
      <c r="J2" s="387" t="str">
        <f ca="1">OFFSET(L!$C$1,MATCH("Smelter List"&amp;ADDRESS(ROW(),COLUMN(),4),L!$A:$A,0)-1,SL,,)</f>
        <v>Link to "RMAP Conformant Smelter List"</v>
      </c>
      <c r="K2" s="388"/>
      <c r="L2" s="388"/>
      <c r="M2" s="388"/>
      <c r="N2" s="388"/>
      <c r="O2" s="388"/>
      <c r="P2" s="188"/>
      <c r="Q2" s="189"/>
      <c r="R2" s="190"/>
      <c r="S2" s="190"/>
      <c r="T2" s="190"/>
      <c r="AH2" s="138" t="s">
        <v>117</v>
      </c>
    </row>
    <row r="3" spans="1:34" s="213" customFormat="1" ht="173.45" customHeight="1">
      <c r="A3" s="164"/>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14"/>
      <c r="G3" s="390" t="str">
        <f ca="1">OFFSET(L!$C$1,MATCH("General"&amp;"Cpy",L!$A:$A,0)-1,SL,,)</f>
        <v>© 2023 Responsible Minerals Initiative. All rights reserved.</v>
      </c>
      <c r="H3" s="390"/>
      <c r="I3" s="391"/>
      <c r="J3" s="120"/>
      <c r="K3" s="121"/>
      <c r="M3" s="191"/>
      <c r="N3" s="191"/>
      <c r="O3" s="93"/>
      <c r="P3" s="93"/>
      <c r="Q3" s="192" t="s">
        <v>113</v>
      </c>
      <c r="R3" s="290"/>
      <c r="S3" s="290"/>
      <c r="T3" s="290"/>
      <c r="W3" s="215" t="s">
        <v>131</v>
      </c>
      <c r="X3" s="215" t="s">
        <v>132</v>
      </c>
      <c r="Y3" s="215" t="s">
        <v>133</v>
      </c>
      <c r="Z3" s="215" t="s">
        <v>134</v>
      </c>
      <c r="AH3" s="138" t="s">
        <v>118</v>
      </c>
    </row>
    <row r="4" spans="1:34" s="152" customFormat="1" ht="78.75">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135</v>
      </c>
      <c r="S4" s="290" t="s">
        <v>136</v>
      </c>
      <c r="T4" s="290" t="s">
        <v>137</v>
      </c>
      <c r="U4" s="193"/>
      <c r="W4" s="152" t="s">
        <v>138</v>
      </c>
      <c r="X4" s="152" t="s">
        <v>139</v>
      </c>
      <c r="AH4" s="138" t="s">
        <v>119</v>
      </c>
    </row>
    <row r="5" spans="1:34" s="219" customFormat="1" ht="19.899999999999999" customHeight="1">
      <c r="A5" s="254"/>
      <c r="B5" s="175" t="s">
        <v>132</v>
      </c>
      <c r="C5" s="179" t="s">
        <v>1046</v>
      </c>
      <c r="D5" s="222"/>
      <c r="E5" s="175" t="s">
        <v>230</v>
      </c>
      <c r="F5" s="175" t="s">
        <v>1271</v>
      </c>
      <c r="G5" s="175" t="s">
        <v>159</v>
      </c>
      <c r="H5" s="176">
        <v>0</v>
      </c>
      <c r="I5" s="177" t="s">
        <v>1272</v>
      </c>
      <c r="J5" s="177" t="s">
        <v>615</v>
      </c>
      <c r="K5" s="216"/>
      <c r="L5" s="216"/>
      <c r="M5" s="216"/>
      <c r="N5" s="216"/>
      <c r="O5" s="216"/>
      <c r="P5" s="178"/>
      <c r="Q5" s="217"/>
      <c r="R5" s="175" t="str">
        <f ca="1">IF(ISERROR($V5),"",OFFSET('Smelter Look-up'!$C$4,$V5-4,0)&amp;"")</f>
        <v>Mineracao Taboca S.A.</v>
      </c>
      <c r="S5" s="174" t="str">
        <f t="shared" ref="S5" ca="1" si="0">IF(B5="","",IF(ISERROR(MATCH($E5,CL,0)),"Unknown",INDIRECT("'C'!$A$"&amp;MATCH($E5,CL,0)+1)))</f>
        <v>BR</v>
      </c>
      <c r="T5" s="174" t="str">
        <f ca="1">IF(B5="","",IF(ISERROR(MATCH($J5,SorP!$B$1:$B$6279,0)),"",INDIRECT("'SorP'!$A$"&amp;MATCH($S5&amp;$J5,SorP!C:C,0))))</f>
        <v>BR-SP</v>
      </c>
      <c r="U5" s="194"/>
      <c r="V5" s="218">
        <f>IF(C5="",NA(),IF(OR(C5="Smelter not listed",C5="Smelter not yet identified"),MATCH($B5&amp;$D5,'Smelter Look-up'!$J:$J,0),MATCH($B5&amp;$C5,'Smelter Look-up'!$J:$J,0)))</f>
        <v>467</v>
      </c>
      <c r="X5" s="219">
        <f t="shared" ref="X5" si="1">IF(AND(C5="Smelter not listed",OR(LEN(D5)=0,LEN(E5)=0)),1,0)</f>
        <v>0</v>
      </c>
      <c r="AB5" s="220" t="str">
        <f t="shared" ref="AB5" si="2">B5&amp;C5</f>
        <v>TinMineracao Taboca SA</v>
      </c>
    </row>
    <row r="6" spans="1:34" s="219" customFormat="1" ht="19.899999999999999" customHeight="1">
      <c r="A6" s="254"/>
      <c r="B6" s="175" t="s">
        <v>132</v>
      </c>
      <c r="C6" s="179" t="s">
        <v>1234</v>
      </c>
      <c r="D6" s="222"/>
      <c r="E6" s="175" t="s">
        <v>686</v>
      </c>
      <c r="F6" s="175" t="s">
        <v>1235</v>
      </c>
      <c r="G6" s="175" t="s">
        <v>159</v>
      </c>
      <c r="H6" s="176">
        <v>0</v>
      </c>
      <c r="I6" s="177" t="s">
        <v>1236</v>
      </c>
      <c r="J6" s="177" t="s">
        <v>1237</v>
      </c>
      <c r="K6" s="216"/>
      <c r="L6" s="216"/>
      <c r="M6" s="216"/>
      <c r="N6" s="216"/>
      <c r="O6" s="216"/>
      <c r="P6" s="178"/>
      <c r="Q6" s="217"/>
      <c r="R6" s="175" t="str">
        <f ca="1">IF(ISERROR($V6),"",OFFSET('Smelter Look-up'!$C$4,$V6-4,0)&amp;"")</f>
        <v>Malaysia Smelting Corporation (MSC)</v>
      </c>
      <c r="S6" s="174" t="str">
        <f t="shared" ref="S6:S37" ca="1" si="3">IF(B6="","",IF(ISERROR(MATCH($E6,CL,0)),"Unknown",INDIRECT("'C'!$A$"&amp;MATCH($E6,CL,0)+1)))</f>
        <v>MY</v>
      </c>
      <c r="T6" s="174" t="str">
        <f ca="1">IF(B6="","",IF(ISERROR(MATCH($J6,SorP!$B$1:$B$6279,0)),"",INDIRECT("'SorP'!$A$"&amp;MATCH($S6&amp;$J6,SorP!C:C,0))))</f>
        <v>MY-07</v>
      </c>
      <c r="U6" s="194"/>
      <c r="V6" s="218">
        <f>IF(C6="",NA(),IF(OR(C6="Smelter not listed",C6="Smelter not yet identified"),MATCH($B6&amp;$D6,'Smelter Look-up'!$J:$J,0),MATCH($B6&amp;$C6,'Smelter Look-up'!$J:$J,0)))</f>
        <v>458</v>
      </c>
      <c r="X6" s="219">
        <f t="shared" ref="X6:X37" si="4">IF(AND(C6="Smelter not listed",OR(LEN(D6)=0,LEN(E6)=0)),1,0)</f>
        <v>0</v>
      </c>
      <c r="AB6" s="220" t="str">
        <f t="shared" ref="AB6:AB37" si="5">B6&amp;C6</f>
        <v>TinMalaysia Smelting Corporation (MSC)</v>
      </c>
    </row>
    <row r="7" spans="1:34" s="219" customFormat="1" ht="19.899999999999999" customHeight="1">
      <c r="A7" s="254"/>
      <c r="B7" s="175" t="s">
        <v>132</v>
      </c>
      <c r="C7" s="179" t="s">
        <v>1381</v>
      </c>
      <c r="D7" s="222"/>
      <c r="E7" s="175" t="s">
        <v>920</v>
      </c>
      <c r="F7" s="175" t="s">
        <v>1382</v>
      </c>
      <c r="G7" s="175" t="s">
        <v>159</v>
      </c>
      <c r="H7" s="176">
        <v>0</v>
      </c>
      <c r="I7" s="177" t="s">
        <v>1383</v>
      </c>
      <c r="J7" s="177" t="s">
        <v>1384</v>
      </c>
      <c r="K7" s="216"/>
      <c r="L7" s="216"/>
      <c r="M7" s="216"/>
      <c r="N7" s="216"/>
      <c r="O7" s="216"/>
      <c r="P7" s="178"/>
      <c r="Q7" s="217"/>
      <c r="R7" s="175" t="str">
        <f ca="1">IF(ISERROR($V7),"",OFFSET('Smelter Look-up'!$C$4,$V7-4,0)&amp;"")</f>
        <v>Thaisarco</v>
      </c>
      <c r="S7" s="174" t="str">
        <f t="shared" ca="1" si="3"/>
        <v>TH</v>
      </c>
      <c r="T7" s="174" t="str">
        <f ca="1">IF(B7="","",IF(ISERROR(MATCH($J7,SorP!$B$1:$B$6279,0)),"",INDIRECT("'SorP'!$A$"&amp;MATCH($S7&amp;$J7,SorP!C:C,0))))</f>
        <v>TH-83</v>
      </c>
      <c r="U7" s="194"/>
      <c r="V7" s="218">
        <f>IF(C7="",NA(),IF(OR(C7="Smelter not listed",C7="Smelter not yet identified"),MATCH($B7&amp;$D7,'Smelter Look-up'!$J:$J,0),MATCH($B7&amp;$C7,'Smelter Look-up'!$J:$J,0)))</f>
        <v>526</v>
      </c>
      <c r="X7" s="219">
        <f t="shared" si="4"/>
        <v>0</v>
      </c>
      <c r="AB7" s="220" t="str">
        <f t="shared" si="5"/>
        <v>TinThaisarco</v>
      </c>
    </row>
    <row r="8" spans="1:34" s="219" customFormat="1" ht="19.899999999999999" customHeight="1">
      <c r="A8" s="254"/>
      <c r="B8" s="175" t="s">
        <v>132</v>
      </c>
      <c r="C8" s="179" t="s">
        <v>1253</v>
      </c>
      <c r="D8" s="222"/>
      <c r="E8" s="175" t="s">
        <v>748</v>
      </c>
      <c r="F8" s="175" t="s">
        <v>1254</v>
      </c>
      <c r="G8" s="175" t="s">
        <v>159</v>
      </c>
      <c r="H8" s="176">
        <v>0</v>
      </c>
      <c r="I8" s="177" t="s">
        <v>1255</v>
      </c>
      <c r="J8" s="177" t="s">
        <v>1256</v>
      </c>
      <c r="K8" s="216"/>
      <c r="L8" s="216"/>
      <c r="M8" s="216"/>
      <c r="N8" s="216"/>
      <c r="O8" s="216"/>
      <c r="P8" s="178"/>
      <c r="Q8" s="217"/>
      <c r="R8" s="175" t="str">
        <f ca="1">IF(ISERROR($V8),"",OFFSET('Smelter Look-up'!$C$4,$V8-4,0)&amp;"")</f>
        <v>PT Timah Tbk Kundur</v>
      </c>
      <c r="S8" s="174" t="str">
        <f t="shared" ca="1" si="3"/>
        <v>ID</v>
      </c>
      <c r="T8" s="174" t="str">
        <f ca="1">IF(B8="","",IF(ISERROR(MATCH($J8,SorP!$B$1:$B$6279,0)),"",INDIRECT("'SorP'!$A$"&amp;MATCH($S8&amp;$J8,SorP!C:C,0))))</f>
        <v>ID-RI</v>
      </c>
      <c r="U8" s="194"/>
      <c r="V8" s="218">
        <f>IF(C8="",NA(),IF(OR(C8="Smelter not listed",C8="Smelter not yet identified"),MATCH($B8&amp;$D8,'Smelter Look-up'!$J:$J,0),MATCH($B8&amp;$C8,'Smelter Look-up'!$J:$J,0)))</f>
        <v>513</v>
      </c>
      <c r="X8" s="219">
        <f t="shared" si="4"/>
        <v>0</v>
      </c>
      <c r="AB8" s="220" t="str">
        <f t="shared" si="5"/>
        <v>TinPT Timah Tbk Kundur</v>
      </c>
    </row>
    <row r="9" spans="1:34" s="219" customFormat="1" ht="19.899999999999999" customHeight="1">
      <c r="A9" s="254"/>
      <c r="B9" s="175" t="s">
        <v>132</v>
      </c>
      <c r="C9" s="179" t="s">
        <v>1241</v>
      </c>
      <c r="D9" s="222"/>
      <c r="E9" s="175" t="s">
        <v>748</v>
      </c>
      <c r="F9" s="175" t="s">
        <v>1242</v>
      </c>
      <c r="G9" s="175" t="s">
        <v>159</v>
      </c>
      <c r="H9" s="176">
        <v>0</v>
      </c>
      <c r="I9" s="177" t="s">
        <v>1243</v>
      </c>
      <c r="J9" s="177" t="s">
        <v>1126</v>
      </c>
      <c r="K9" s="216"/>
      <c r="L9" s="216"/>
      <c r="M9" s="216"/>
      <c r="N9" s="216"/>
      <c r="O9" s="216"/>
      <c r="P9" s="178"/>
      <c r="Q9" s="217"/>
      <c r="R9" s="175" t="str">
        <f ca="1">IF(ISERROR($V9),"",OFFSET('Smelter Look-up'!$C$4,$V9-4,0)&amp;"")</f>
        <v>PT Timah Tbk Mentok</v>
      </c>
      <c r="S9" s="174" t="str">
        <f t="shared" ca="1" si="3"/>
        <v>ID</v>
      </c>
      <c r="T9" s="174" t="str">
        <f ca="1">IF(B9="","",IF(ISERROR(MATCH($J9,SorP!$B$1:$B$6279,0)),"",INDIRECT("'SorP'!$A$"&amp;MATCH($S9&amp;$J9,SorP!C:C,0))))</f>
        <v>ID-BB</v>
      </c>
      <c r="U9" s="194"/>
      <c r="V9" s="218">
        <f>IF(C9="",NA(),IF(OR(C9="Smelter not listed",C9="Smelter not yet identified"),MATCH($B9&amp;$D9,'Smelter Look-up'!$J:$J,0),MATCH($B9&amp;$C9,'Smelter Look-up'!$J:$J,0)))</f>
        <v>514</v>
      </c>
      <c r="X9" s="219">
        <f t="shared" si="4"/>
        <v>0</v>
      </c>
      <c r="AB9" s="220" t="str">
        <f t="shared" si="5"/>
        <v>TinPT Timah Tbk Mentok</v>
      </c>
    </row>
    <row r="10" spans="1:34" s="219" customFormat="1" ht="19.899999999999999" customHeight="1">
      <c r="A10" s="254"/>
      <c r="B10" s="175" t="s">
        <v>132</v>
      </c>
      <c r="C10" s="179" t="s">
        <v>1115</v>
      </c>
      <c r="D10" s="222"/>
      <c r="E10" s="175" t="s">
        <v>497</v>
      </c>
      <c r="F10" s="175" t="s">
        <v>1116</v>
      </c>
      <c r="G10" s="175" t="s">
        <v>159</v>
      </c>
      <c r="H10" s="176">
        <v>0</v>
      </c>
      <c r="I10" s="177" t="s">
        <v>1117</v>
      </c>
      <c r="J10" s="177" t="s">
        <v>500</v>
      </c>
      <c r="K10" s="216"/>
      <c r="L10" s="216"/>
      <c r="M10" s="216"/>
      <c r="N10" s="216"/>
      <c r="O10" s="216"/>
      <c r="P10" s="178"/>
      <c r="Q10" s="217"/>
      <c r="R10" s="175" t="str">
        <f ca="1">IF(ISERROR($V10),"",OFFSET('Smelter Look-up'!$C$4,$V10-4,0)&amp;"")</f>
        <v>Aurubis Beerse</v>
      </c>
      <c r="S10" s="174" t="str">
        <f t="shared" ca="1" si="3"/>
        <v>BE</v>
      </c>
      <c r="T10" s="174" t="str">
        <f ca="1">IF(B10="","",IF(ISERROR(MATCH($J10,SorP!$B$1:$B$6279,0)),"",INDIRECT("'SorP'!$A$"&amp;MATCH($S10&amp;$J10,SorP!C:C,0))))</f>
        <v>BE-VAN</v>
      </c>
      <c r="U10" s="194"/>
      <c r="V10" s="218">
        <f>IF(C10="",NA(),IF(OR(C10="Smelter not listed",C10="Smelter not yet identified"),MATCH($B10&amp;$D10,'Smelter Look-up'!$J:$J,0),MATCH($B10&amp;$C10,'Smelter Look-up'!$J:$J,0)))</f>
        <v>394</v>
      </c>
      <c r="X10" s="219">
        <f t="shared" si="4"/>
        <v>0</v>
      </c>
      <c r="AB10" s="220" t="str">
        <f t="shared" si="5"/>
        <v>TinAurubis Beerse</v>
      </c>
    </row>
    <row r="11" spans="1:34" s="219" customFormat="1" ht="19.899999999999999" customHeight="1">
      <c r="A11" s="254"/>
      <c r="B11" s="175" t="s">
        <v>132</v>
      </c>
      <c r="C11" s="179" t="s">
        <v>1208</v>
      </c>
      <c r="D11" s="222"/>
      <c r="E11" s="175" t="s">
        <v>1209</v>
      </c>
      <c r="F11" s="175" t="s">
        <v>1210</v>
      </c>
      <c r="G11" s="175" t="s">
        <v>159</v>
      </c>
      <c r="H11" s="176">
        <v>0</v>
      </c>
      <c r="I11" s="177" t="s">
        <v>1211</v>
      </c>
      <c r="J11" s="177" t="s">
        <v>1212</v>
      </c>
      <c r="K11" s="216"/>
      <c r="L11" s="216"/>
      <c r="M11" s="216"/>
      <c r="N11" s="216"/>
      <c r="O11" s="216"/>
      <c r="P11" s="178"/>
      <c r="Q11" s="217"/>
      <c r="R11" s="175" t="str">
        <f ca="1">IF(ISERROR($V11),"",OFFSET('Smelter Look-up'!$C$4,$V11-4,0)&amp;"")</f>
        <v>Minsur</v>
      </c>
      <c r="S11" s="174" t="str">
        <f t="shared" ca="1" si="3"/>
        <v>PE</v>
      </c>
      <c r="T11" s="174" t="str">
        <f ca="1">IF(B11="","",IF(ISERROR(MATCH($J11,SorP!$B$1:$B$6279,0)),"",INDIRECT("'SorP'!$A$"&amp;MATCH($S11&amp;$J11,SorP!C:C,0))))</f>
        <v>PE-ICA</v>
      </c>
      <c r="U11" s="194"/>
      <c r="V11" s="218">
        <f>IF(C11="",NA(),IF(OR(C11="Smelter not listed",C11="Smelter not yet identified"),MATCH($B11&amp;$D11,'Smelter Look-up'!$J:$J,0),MATCH($B11&amp;$C11,'Smelter Look-up'!$J:$J,0)))</f>
        <v>470</v>
      </c>
      <c r="X11" s="219">
        <f t="shared" si="4"/>
        <v>0</v>
      </c>
      <c r="AB11" s="220" t="str">
        <f t="shared" si="5"/>
        <v>TinMinsur</v>
      </c>
    </row>
    <row r="12" spans="1:34" s="219" customFormat="1" ht="19.899999999999999" customHeight="1">
      <c r="A12" s="254"/>
      <c r="B12" s="175" t="s">
        <v>132</v>
      </c>
      <c r="C12" s="179" t="s">
        <v>1388</v>
      </c>
      <c r="D12" s="222"/>
      <c r="E12" s="175" t="s">
        <v>168</v>
      </c>
      <c r="F12" s="175" t="s">
        <v>1389</v>
      </c>
      <c r="G12" s="175" t="s">
        <v>159</v>
      </c>
      <c r="H12" s="176">
        <v>0</v>
      </c>
      <c r="I12" s="177" t="s">
        <v>1390</v>
      </c>
      <c r="J12" s="177" t="s">
        <v>171</v>
      </c>
      <c r="K12" s="216"/>
      <c r="L12" s="216"/>
      <c r="M12" s="216"/>
      <c r="N12" s="216"/>
      <c r="O12" s="216"/>
      <c r="P12" s="178"/>
      <c r="Q12" s="217"/>
      <c r="R12" s="175" t="str">
        <f ca="1">IF(ISERROR($V12),"",OFFSET('Smelter Look-up'!$C$4,$V12-4,0)&amp;"")</f>
        <v>Tin Technology &amp; Refining</v>
      </c>
      <c r="S12" s="174" t="str">
        <f t="shared" ca="1" si="3"/>
        <v>US</v>
      </c>
      <c r="T12" s="174" t="str">
        <f ca="1">IF(B12="","",IF(ISERROR(MATCH($J12,SorP!$B$1:$B$6279,0)),"",INDIRECT("'SorP'!$A$"&amp;MATCH($S12&amp;$J12,SorP!C:C,0))))</f>
        <v>US-PA</v>
      </c>
      <c r="U12" s="194"/>
      <c r="V12" s="218">
        <f>IF(C12="",NA(),IF(OR(C12="Smelter not listed",C12="Smelter not yet identified"),MATCH($B12&amp;$D12,'Smelter Look-up'!$J:$J,0),MATCH($B12&amp;$C12,'Smelter Look-up'!$J:$J,0)))</f>
        <v>530</v>
      </c>
      <c r="X12" s="219">
        <f t="shared" si="4"/>
        <v>0</v>
      </c>
      <c r="AB12" s="220" t="str">
        <f t="shared" si="5"/>
        <v>TinTin Technology &amp; Refining</v>
      </c>
    </row>
    <row r="13" spans="1:34" s="219" customFormat="1" ht="19.899999999999999" customHeight="1">
      <c r="A13" s="254"/>
      <c r="B13" s="175" t="s">
        <v>132</v>
      </c>
      <c r="C13" s="179" t="s">
        <v>1128</v>
      </c>
      <c r="D13" s="222"/>
      <c r="E13" s="175" t="s">
        <v>748</v>
      </c>
      <c r="F13" s="175" t="s">
        <v>1129</v>
      </c>
      <c r="G13" s="175" t="s">
        <v>159</v>
      </c>
      <c r="H13" s="176">
        <v>0</v>
      </c>
      <c r="I13" s="177" t="s">
        <v>1130</v>
      </c>
      <c r="J13" s="177" t="s">
        <v>1126</v>
      </c>
      <c r="K13" s="216"/>
      <c r="L13" s="216"/>
      <c r="M13" s="216"/>
      <c r="N13" s="216"/>
      <c r="O13" s="216"/>
      <c r="P13" s="178"/>
      <c r="Q13" s="217"/>
      <c r="R13" s="175" t="str">
        <f ca="1">IF(ISERROR($V13),"",OFFSET('Smelter Look-up'!$C$4,$V13-4,0)&amp;"")</f>
        <v>PT Refined Bangka Tin</v>
      </c>
      <c r="S13" s="174" t="str">
        <f t="shared" ca="1" si="3"/>
        <v>ID</v>
      </c>
      <c r="T13" s="174" t="str">
        <f ca="1">IF(B13="","",IF(ISERROR(MATCH($J13,SorP!$B$1:$B$6279,0)),"",INDIRECT("'SorP'!$A$"&amp;MATCH($S13&amp;$J13,SorP!C:C,0))))</f>
        <v>ID-BB</v>
      </c>
      <c r="U13" s="194"/>
      <c r="V13" s="218">
        <f>IF(C13="",NA(),IF(OR(C13="Smelter not listed",C13="Smelter not yet identified"),MATCH($B13&amp;$D13,'Smelter Look-up'!$J:$J,0),MATCH($B13&amp;$C13,'Smelter Look-up'!$J:$J,0)))</f>
        <v>507</v>
      </c>
      <c r="X13" s="219">
        <f t="shared" si="4"/>
        <v>0</v>
      </c>
      <c r="AB13" s="220" t="str">
        <f t="shared" si="5"/>
        <v>TinPT Refined Bangka Tin</v>
      </c>
    </row>
    <row r="14" spans="1:34" s="219" customFormat="1" ht="19.899999999999999" customHeight="1">
      <c r="A14" s="254"/>
      <c r="B14" s="175" t="s">
        <v>132</v>
      </c>
      <c r="C14" s="179" t="s">
        <v>1186</v>
      </c>
      <c r="D14" s="222"/>
      <c r="E14" s="175" t="s">
        <v>1187</v>
      </c>
      <c r="F14" s="175" t="s">
        <v>1188</v>
      </c>
      <c r="G14" s="175" t="s">
        <v>159</v>
      </c>
      <c r="H14" s="176">
        <v>0</v>
      </c>
      <c r="I14" s="177" t="s">
        <v>1189</v>
      </c>
      <c r="J14" s="177" t="s">
        <v>1189</v>
      </c>
      <c r="K14" s="216"/>
      <c r="L14" s="216"/>
      <c r="M14" s="216"/>
      <c r="N14" s="216"/>
      <c r="O14" s="216"/>
      <c r="P14" s="178"/>
      <c r="Q14" s="217"/>
      <c r="R14" s="175" t="str">
        <f ca="1">IF(ISERROR($V14),"",OFFSET('Smelter Look-up'!$C$4,$V14-4,0)&amp;"")</f>
        <v>EM Vinto</v>
      </c>
      <c r="S14" s="174" t="str">
        <f t="shared" ca="1" si="3"/>
        <v>BO</v>
      </c>
      <c r="T14" s="174" t="str">
        <f ca="1">IF(B14="","",IF(ISERROR(MATCH($J14,SorP!$B$1:$B$6279,0)),"",INDIRECT("'SorP'!$A$"&amp;MATCH($S14&amp;$J14,SorP!C:C,0))))</f>
        <v>BO-O</v>
      </c>
      <c r="U14" s="194"/>
      <c r="V14" s="218">
        <f>IF(C14="",NA(),IF(OR(C14="Smelter not listed",C14="Smelter not yet identified"),MATCH($B14&amp;$D14,'Smelter Look-up'!$J:$J,0),MATCH($B14&amp;$C14,'Smelter Look-up'!$J:$J,0)))</f>
        <v>421</v>
      </c>
      <c r="X14" s="219">
        <f t="shared" si="4"/>
        <v>0</v>
      </c>
      <c r="AB14" s="220" t="str">
        <f t="shared" si="5"/>
        <v>TinEM Vinto</v>
      </c>
    </row>
    <row r="15" spans="1:34" s="219" customFormat="1" ht="19.899999999999999" customHeight="1">
      <c r="A15" s="254"/>
      <c r="B15" s="175" t="s">
        <v>132</v>
      </c>
      <c r="C15" s="179" t="s">
        <v>1164</v>
      </c>
      <c r="D15" s="222"/>
      <c r="E15" s="175" t="s">
        <v>748</v>
      </c>
      <c r="F15" s="175" t="s">
        <v>1165</v>
      </c>
      <c r="G15" s="175" t="s">
        <v>159</v>
      </c>
      <c r="H15" s="176">
        <v>0</v>
      </c>
      <c r="I15" s="177" t="s">
        <v>1166</v>
      </c>
      <c r="J15" s="177" t="s">
        <v>1126</v>
      </c>
      <c r="K15" s="216"/>
      <c r="L15" s="216"/>
      <c r="M15" s="216"/>
      <c r="N15" s="216"/>
      <c r="O15" s="216"/>
      <c r="P15" s="178"/>
      <c r="Q15" s="217"/>
      <c r="R15" s="175" t="str">
        <f ca="1">IF(ISERROR($V15),"",OFFSET('Smelter Look-up'!$C$4,$V15-4,0)&amp;"")</f>
        <v>PT Aries Kencana Sejahtera</v>
      </c>
      <c r="S15" s="174" t="str">
        <f t="shared" ca="1" si="3"/>
        <v>ID</v>
      </c>
      <c r="T15" s="174" t="str">
        <f ca="1">IF(B15="","",IF(ISERROR(MATCH($J15,SorP!$B$1:$B$6279,0)),"",INDIRECT("'SorP'!$A$"&amp;MATCH($S15&amp;$J15,SorP!C:C,0))))</f>
        <v>ID-BB</v>
      </c>
      <c r="U15" s="194"/>
      <c r="V15" s="218">
        <f>IF(C15="",NA(),IF(OR(C15="Smelter not listed",C15="Smelter not yet identified"),MATCH($B15&amp;$D15,'Smelter Look-up'!$J:$J,0),MATCH($B15&amp;$C15,'Smelter Look-up'!$J:$J,0)))</f>
        <v>486</v>
      </c>
      <c r="X15" s="219">
        <f t="shared" si="4"/>
        <v>0</v>
      </c>
      <c r="AB15" s="220" t="str">
        <f t="shared" si="5"/>
        <v>TinPT Aries Kencana Sejahtera</v>
      </c>
    </row>
    <row r="16" spans="1:34" s="219" customFormat="1" ht="19.899999999999999" customHeight="1">
      <c r="A16" s="254"/>
      <c r="B16" s="175" t="s">
        <v>132</v>
      </c>
      <c r="C16" s="179" t="s">
        <v>1363</v>
      </c>
      <c r="D16" s="222"/>
      <c r="E16" s="175" t="s">
        <v>748</v>
      </c>
      <c r="F16" s="175" t="s">
        <v>1364</v>
      </c>
      <c r="G16" s="175" t="s">
        <v>159</v>
      </c>
      <c r="H16" s="176">
        <v>0</v>
      </c>
      <c r="I16" s="177" t="s">
        <v>1125</v>
      </c>
      <c r="J16" s="177" t="s">
        <v>1126</v>
      </c>
      <c r="K16" s="216"/>
      <c r="L16" s="216"/>
      <c r="M16" s="216"/>
      <c r="N16" s="216"/>
      <c r="O16" s="216"/>
      <c r="P16" s="178"/>
      <c r="Q16" s="217"/>
      <c r="R16" s="175" t="str">
        <f ca="1">IF(ISERROR($V16),"",OFFSET('Smelter Look-up'!$C$4,$V16-4,0)&amp;"")</f>
        <v>PT Tinindo Inter Nusa</v>
      </c>
      <c r="S16" s="174" t="str">
        <f t="shared" ca="1" si="3"/>
        <v>ID</v>
      </c>
      <c r="T16" s="174" t="str">
        <f ca="1">IF(B16="","",IF(ISERROR(MATCH($J16,SorP!$B$1:$B$6279,0)),"",INDIRECT("'SorP'!$A$"&amp;MATCH($S16&amp;$J16,SorP!C:C,0))))</f>
        <v>ID-BB</v>
      </c>
      <c r="U16" s="194"/>
      <c r="V16" s="218">
        <f>IF(C16="",NA(),IF(OR(C16="Smelter not listed",C16="Smelter not yet identified"),MATCH($B16&amp;$D16,'Smelter Look-up'!$J:$J,0),MATCH($B16&amp;$C16,'Smelter Look-up'!$J:$J,0)))</f>
        <v>515</v>
      </c>
      <c r="X16" s="219">
        <f t="shared" si="4"/>
        <v>0</v>
      </c>
      <c r="AB16" s="220" t="str">
        <f t="shared" si="5"/>
        <v>TinPT Tinindo Inter Nusa</v>
      </c>
    </row>
    <row r="17" spans="1:28" s="219" customFormat="1" ht="19.899999999999999" customHeight="1">
      <c r="A17" s="254"/>
      <c r="B17" s="175" t="str">
        <f>IF(LEN(A17)=0,"",INDEX('Smelter Look-up'!$A:$A,MATCH($A17,'Smelter Look-up'!$E:$E,0)))</f>
        <v/>
      </c>
      <c r="C17" s="179" t="str">
        <f>IF(LEN(A17)=0,"",INDEX('Smelter Look-up'!$C:$C,MATCH($A17,'Smelter Look-up'!$E:$E,0)))</f>
        <v/>
      </c>
      <c r="D17" s="222"/>
      <c r="E17" s="175" t="str">
        <f ca="1">IF(ISERROR($V17),"",OFFSET('Smelter Look-up'!$D$4,$V17-4,0)&amp;"")</f>
        <v/>
      </c>
      <c r="F17" s="175" t="str">
        <f ca="1">IF(ISERROR($V17),"",OFFSET('Smelter Look-up'!$E$4,$V17-4,0))</f>
        <v/>
      </c>
      <c r="G17" s="175" t="str">
        <f ca="1">IF(C17=$X$4,IF(ISERROR($V17),"Enter smelter details","RMI"),IF(ISERROR($V17),"",OFFSET('Smelter Look-up'!$F$4,$V17-4,0)))</f>
        <v/>
      </c>
      <c r="H17" s="176" t="str">
        <f ca="1">IF(ISERROR($V17),"",OFFSET('Smelter Look-up'!$G$4,$V17-4,0))</f>
        <v/>
      </c>
      <c r="I17" s="177" t="str">
        <f ca="1">IF(ISERROR($V17),"",OFFSET('Smelter Look-up'!$H$4,$V17-4,0))</f>
        <v/>
      </c>
      <c r="J17" s="177" t="str">
        <f ca="1">IF(ISERROR($V17),"",OFFSET('Smelter Look-up'!$I$4,$V17-4,0))</f>
        <v/>
      </c>
      <c r="K17" s="216"/>
      <c r="L17" s="216"/>
      <c r="M17" s="216"/>
      <c r="N17" s="216"/>
      <c r="O17" s="216"/>
      <c r="P17" s="178"/>
      <c r="Q17" s="217"/>
      <c r="R17" s="175" t="str">
        <f ca="1">IF(ISERROR($V17),"",OFFSET('Smelter Look-up'!$C$4,$V17-4,0)&amp;"")</f>
        <v/>
      </c>
      <c r="S17" s="174" t="str">
        <f t="shared" ca="1" si="3"/>
        <v/>
      </c>
      <c r="T17" s="174" t="str">
        <f ca="1">IF(B17="","",IF(ISERROR(MATCH($J17,SorP!$B$1:$B$6279,0)),"",INDIRECT("'SorP'!$A$"&amp;MATCH($S17&amp;$J17,SorP!C:C,0))))</f>
        <v/>
      </c>
      <c r="U17" s="194"/>
      <c r="V17" s="218" t="e">
        <f>IF(C17="",NA(),IF(OR(C17="Smelter not listed",C17="Smelter not yet identified"),MATCH($B17&amp;$D17,'Smelter Look-up'!$J:$J,0),MATCH($B17&amp;$C17,'Smelter Look-up'!$J:$J,0)))</f>
        <v>#N/A</v>
      </c>
      <c r="X17" s="219">
        <f t="shared" ca="1" si="4"/>
        <v>0</v>
      </c>
      <c r="AB17" s="220" t="str">
        <f t="shared" si="5"/>
        <v/>
      </c>
    </row>
    <row r="18" spans="1:28" s="219" customFormat="1" ht="19.899999999999999" customHeight="1">
      <c r="A18" s="174"/>
      <c r="B18" s="175" t="str">
        <f>IF(LEN(A18)=0,"",INDEX('Smelter Look-up'!$A:$A,MATCH($A18,'Smelter Look-up'!$E:$E,0)))</f>
        <v/>
      </c>
      <c r="C18" s="179" t="str">
        <f>IF(LEN(A18)=0,"",INDEX('Smelter Look-up'!$C:$C,MATCH($A18,'Smelter Look-up'!$E:$E,0)))</f>
        <v/>
      </c>
      <c r="D18" s="222"/>
      <c r="E18" s="175" t="str">
        <f ca="1">IF(ISERROR($V18),"",OFFSET('Smelter Look-up'!$D$4,$V18-4,0)&amp;"")</f>
        <v/>
      </c>
      <c r="F18" s="175" t="str">
        <f ca="1">IF(ISERROR($V18),"",OFFSET('Smelter Look-up'!$E$4,$V18-4,0))</f>
        <v/>
      </c>
      <c r="G18" s="175" t="str">
        <f ca="1">IF(C18=$X$4,IF(ISERROR($V18),"Enter smelter details","RMI"),IF(ISERROR($V18),"",OFFSET('Smelter Look-up'!$F$4,$V18-4,0)))</f>
        <v/>
      </c>
      <c r="H18" s="176" t="str">
        <f ca="1">IF(ISERROR($V18),"",OFFSET('Smelter Look-up'!$G$4,$V18-4,0))</f>
        <v/>
      </c>
      <c r="I18" s="177" t="str">
        <f ca="1">IF(ISERROR($V18),"",OFFSET('Smelter Look-up'!$H$4,$V18-4,0))</f>
        <v/>
      </c>
      <c r="J18" s="177" t="str">
        <f ca="1">IF(ISERROR($V18),"",OFFSET('Smelter Look-up'!$I$4,$V18-4,0))</f>
        <v/>
      </c>
      <c r="K18" s="216"/>
      <c r="L18" s="216"/>
      <c r="M18" s="216"/>
      <c r="N18" s="216"/>
      <c r="O18" s="216"/>
      <c r="P18" s="178"/>
      <c r="Q18" s="217"/>
      <c r="R18" s="175" t="str">
        <f ca="1">IF(ISERROR($V18),"",OFFSET('Smelter Look-up'!$C$4,$V18-4,0)&amp;"")</f>
        <v/>
      </c>
      <c r="S18" s="174" t="str">
        <f t="shared" ca="1" si="3"/>
        <v/>
      </c>
      <c r="T18" s="174" t="str">
        <f ca="1">IF(B18="","",IF(ISERROR(MATCH($J18,SorP!$B$1:$B$6279,0)),"",INDIRECT("'SorP'!$A$"&amp;MATCH($S18&amp;$J18,SorP!C:C,0))))</f>
        <v/>
      </c>
      <c r="U18" s="194"/>
      <c r="V18" s="218" t="e">
        <f>IF(C18="",NA(),IF(OR(C18="Smelter not listed",C18="Smelter not yet identified"),MATCH($B18&amp;$D18,'Smelter Look-up'!$J:$J,0),MATCH($B18&amp;$C18,'Smelter Look-up'!$J:$J,0)))</f>
        <v>#N/A</v>
      </c>
      <c r="X18" s="219">
        <f t="shared" ca="1" si="4"/>
        <v>0</v>
      </c>
      <c r="AB18" s="220" t="str">
        <f t="shared" si="5"/>
        <v/>
      </c>
    </row>
    <row r="19" spans="1:28" s="219" customFormat="1" ht="20.25">
      <c r="A19" s="174"/>
      <c r="B19" s="175" t="str">
        <f>IF(LEN(A19)=0,"",INDEX('Smelter Look-up'!$A:$A,MATCH($A19,'Smelter Look-up'!$E:$E,0)))</f>
        <v/>
      </c>
      <c r="C19" s="179" t="str">
        <f>IF(LEN(A19)=0,"",INDEX('Smelter Look-up'!$C:$C,MATCH($A19,'Smelter Look-up'!$E:$E,0)))</f>
        <v/>
      </c>
      <c r="D19" s="222"/>
      <c r="E19" s="175" t="str">
        <f ca="1">IF(ISERROR($V19),"",OFFSET('Smelter Look-up'!$D$4,$V19-4,0)&amp;"")</f>
        <v/>
      </c>
      <c r="F19" s="175" t="str">
        <f ca="1">IF(ISERROR($V19),"",OFFSET('Smelter Look-up'!$E$4,$V19-4,0))</f>
        <v/>
      </c>
      <c r="G19" s="175" t="str">
        <f ca="1">IF(C19=$X$4,IF(ISERROR($V19),"Enter smelter details","RMI"),IF(ISERROR($V19),"",OFFSET('Smelter Look-up'!$F$4,$V19-4,0)))</f>
        <v/>
      </c>
      <c r="H19" s="176" t="str">
        <f ca="1">IF(ISERROR($V19),"",OFFSET('Smelter Look-up'!$G$4,$V19-4,0))</f>
        <v/>
      </c>
      <c r="I19" s="177" t="str">
        <f ca="1">IF(ISERROR($V19),"",OFFSET('Smelter Look-up'!$H$4,$V19-4,0))</f>
        <v/>
      </c>
      <c r="J19" s="177" t="str">
        <f ca="1">IF(ISERROR($V19),"",OFFSET('Smelter Look-up'!$I$4,$V19-4,0))</f>
        <v/>
      </c>
      <c r="K19" s="216"/>
      <c r="L19" s="216"/>
      <c r="M19" s="216"/>
      <c r="N19" s="216"/>
      <c r="O19" s="216"/>
      <c r="P19" s="178"/>
      <c r="Q19" s="217"/>
      <c r="R19" s="175" t="str">
        <f ca="1">IF(ISERROR($V19),"",OFFSET('Smelter Look-up'!$C$4,$V19-4,0)&amp;"")</f>
        <v/>
      </c>
      <c r="S19" s="174" t="str">
        <f t="shared" ca="1" si="3"/>
        <v/>
      </c>
      <c r="T19" s="174" t="str">
        <f ca="1">IF(B19="","",IF(ISERROR(MATCH($J19,SorP!$B$1:$B$6279,0)),"",INDIRECT("'SorP'!$A$"&amp;MATCH($S19&amp;$J19,SorP!C:C,0))))</f>
        <v/>
      </c>
      <c r="U19" s="194"/>
      <c r="V19" s="218" t="e">
        <f>IF(C19="",NA(),IF(OR(C19="Smelter not listed",C19="Smelter not yet identified"),MATCH($B19&amp;$D19,'Smelter Look-up'!$J:$J,0),MATCH($B19&amp;$C19,'Smelter Look-up'!$J:$J,0)))</f>
        <v>#N/A</v>
      </c>
      <c r="X19" s="219">
        <f t="shared" ca="1" si="4"/>
        <v>0</v>
      </c>
      <c r="AB19" s="220" t="str">
        <f t="shared" si="5"/>
        <v/>
      </c>
    </row>
    <row r="20" spans="1:28" s="219" customFormat="1" ht="20.25">
      <c r="A20" s="174"/>
      <c r="B20" s="175" t="str">
        <f>IF(LEN(A20)=0,"",INDEX('Smelter Look-up'!$A:$A,MATCH($A20,'Smelter Look-up'!$E:$E,0)))</f>
        <v/>
      </c>
      <c r="C20" s="179" t="str">
        <f>IF(LEN(A20)=0,"",INDEX('Smelter Look-up'!$C:$C,MATCH($A20,'Smelter Look-up'!$E:$E,0)))</f>
        <v/>
      </c>
      <c r="D20" s="222"/>
      <c r="E20" s="175" t="str">
        <f ca="1">IF(ISERROR($V20),"",OFFSET('Smelter Look-up'!$D$4,$V20-4,0)&amp;"")</f>
        <v/>
      </c>
      <c r="F20" s="175" t="str">
        <f ca="1">IF(ISERROR($V20),"",OFFSET('Smelter Look-up'!$E$4,$V20-4,0))</f>
        <v/>
      </c>
      <c r="G20" s="175" t="str">
        <f ca="1">IF(C20=$X$4,IF(ISERROR($V20),"Enter smelter details","RMI"),IF(ISERROR($V20),"",OFFSET('Smelter Look-up'!$F$4,$V20-4,0)))</f>
        <v/>
      </c>
      <c r="H20" s="176" t="str">
        <f ca="1">IF(ISERROR($V20),"",OFFSET('Smelter Look-up'!$G$4,$V20-4,0))</f>
        <v/>
      </c>
      <c r="I20" s="177" t="str">
        <f ca="1">IF(ISERROR($V20),"",OFFSET('Smelter Look-up'!$H$4,$V20-4,0))</f>
        <v/>
      </c>
      <c r="J20" s="177" t="str">
        <f ca="1">IF(ISERROR($V20),"",OFFSET('Smelter Look-up'!$I$4,$V20-4,0))</f>
        <v/>
      </c>
      <c r="K20" s="216"/>
      <c r="L20" s="216"/>
      <c r="M20" s="216"/>
      <c r="N20" s="216"/>
      <c r="O20" s="216"/>
      <c r="P20" s="178"/>
      <c r="Q20" s="217"/>
      <c r="R20" s="175" t="str">
        <f ca="1">IF(ISERROR($V20),"",OFFSET('Smelter Look-up'!$C$4,$V20-4,0)&amp;"")</f>
        <v/>
      </c>
      <c r="S20" s="174" t="str">
        <f t="shared" ca="1" si="3"/>
        <v/>
      </c>
      <c r="T20" s="174" t="str">
        <f ca="1">IF(B20="","",IF(ISERROR(MATCH($J20,SorP!$B$1:$B$6279,0)),"",INDIRECT("'SorP'!$A$"&amp;MATCH($S20&amp;$J20,SorP!C:C,0))))</f>
        <v/>
      </c>
      <c r="U20" s="194"/>
      <c r="V20" s="218" t="e">
        <f>IF(C20="",NA(),IF(OR(C20="Smelter not listed",C20="Smelter not yet identified"),MATCH($B20&amp;$D20,'Smelter Look-up'!$J:$J,0),MATCH($B20&amp;$C20,'Smelter Look-up'!$J:$J,0)))</f>
        <v>#N/A</v>
      </c>
      <c r="X20" s="219">
        <f t="shared" ca="1" si="4"/>
        <v>0</v>
      </c>
      <c r="AB20" s="220" t="str">
        <f t="shared" si="5"/>
        <v/>
      </c>
    </row>
    <row r="21" spans="1:28" s="219" customFormat="1" ht="20.25">
      <c r="A21" s="174"/>
      <c r="B21" s="175" t="str">
        <f>IF(LEN(A21)=0,"",INDEX('Smelter Look-up'!$A:$A,MATCH($A21,'Smelter Look-up'!$E:$E,0)))</f>
        <v/>
      </c>
      <c r="C21" s="179" t="str">
        <f>IF(LEN(A21)=0,"",INDEX('Smelter Look-up'!$C:$C,MATCH($A21,'Smelter Look-up'!$E:$E,0)))</f>
        <v/>
      </c>
      <c r="D21" s="222"/>
      <c r="E21" s="175" t="str">
        <f ca="1">IF(ISERROR($V21),"",OFFSET('Smelter Look-up'!$D$4,$V21-4,0)&amp;"")</f>
        <v/>
      </c>
      <c r="F21" s="175" t="str">
        <f ca="1">IF(ISERROR($V21),"",OFFSET('Smelter Look-up'!$E$4,$V21-4,0))</f>
        <v/>
      </c>
      <c r="G21" s="175" t="str">
        <f ca="1">IF(C21=$X$4,IF(ISERROR($V21),"Enter smelter details","RMI"),IF(ISERROR($V21),"",OFFSET('Smelter Look-up'!$F$4,$V21-4,0)))</f>
        <v/>
      </c>
      <c r="H21" s="176" t="str">
        <f ca="1">IF(ISERROR($V21),"",OFFSET('Smelter Look-up'!$G$4,$V21-4,0))</f>
        <v/>
      </c>
      <c r="I21" s="177" t="str">
        <f ca="1">IF(ISERROR($V21),"",OFFSET('Smelter Look-up'!$H$4,$V21-4,0))</f>
        <v/>
      </c>
      <c r="J21" s="177" t="str">
        <f ca="1">IF(ISERROR($V21),"",OFFSET('Smelter Look-up'!$I$4,$V21-4,0))</f>
        <v/>
      </c>
      <c r="K21" s="216"/>
      <c r="L21" s="216"/>
      <c r="M21" s="216"/>
      <c r="N21" s="216"/>
      <c r="O21" s="216"/>
      <c r="P21" s="178"/>
      <c r="Q21" s="217"/>
      <c r="R21" s="175" t="str">
        <f ca="1">IF(ISERROR($V21),"",OFFSET('Smelter Look-up'!$C$4,$V21-4,0)&amp;"")</f>
        <v/>
      </c>
      <c r="S21" s="174" t="str">
        <f t="shared" ca="1" si="3"/>
        <v/>
      </c>
      <c r="T21" s="174" t="str">
        <f ca="1">IF(B21="","",IF(ISERROR(MATCH($J21,SorP!$B$1:$B$6279,0)),"",INDIRECT("'SorP'!$A$"&amp;MATCH($S21&amp;$J21,SorP!C:C,0))))</f>
        <v/>
      </c>
      <c r="U21" s="194"/>
      <c r="V21" s="218" t="e">
        <f>IF(C21="",NA(),IF(OR(C21="Smelter not listed",C21="Smelter not yet identified"),MATCH($B21&amp;$D21,'Smelter Look-up'!$J:$J,0),MATCH($B21&amp;$C21,'Smelter Look-up'!$J:$J,0)))</f>
        <v>#N/A</v>
      </c>
      <c r="X21" s="219">
        <f t="shared" ca="1" si="4"/>
        <v>0</v>
      </c>
      <c r="AB21" s="220" t="str">
        <f t="shared" si="5"/>
        <v/>
      </c>
    </row>
    <row r="22" spans="1:28" s="219" customFormat="1" ht="20.25">
      <c r="A22" s="174"/>
      <c r="B22" s="175" t="str">
        <f>IF(LEN(A22)=0,"",INDEX('Smelter Look-up'!$A:$A,MATCH($A22,'Smelter Look-up'!$E:$E,0)))</f>
        <v/>
      </c>
      <c r="C22" s="179" t="str">
        <f>IF(LEN(A22)=0,"",INDEX('Smelter Look-up'!$C:$C,MATCH($A22,'Smelter Look-up'!$E:$E,0)))</f>
        <v/>
      </c>
      <c r="D22" s="222"/>
      <c r="E22" s="175" t="str">
        <f ca="1">IF(ISERROR($V22),"",OFFSET('Smelter Look-up'!$D$4,$V22-4,0)&amp;"")</f>
        <v/>
      </c>
      <c r="F22" s="175" t="str">
        <f ca="1">IF(ISERROR($V22),"",OFFSET('Smelter Look-up'!$E$4,$V22-4,0))</f>
        <v/>
      </c>
      <c r="G22" s="175" t="str">
        <f ca="1">IF(C22=$X$4,IF(ISERROR($V22),"Enter smelter details","RMI"),IF(ISERROR($V22),"",OFFSET('Smelter Look-up'!$F$4,$V22-4,0)))</f>
        <v/>
      </c>
      <c r="H22" s="176" t="str">
        <f ca="1">IF(ISERROR($V22),"",OFFSET('Smelter Look-up'!$G$4,$V22-4,0))</f>
        <v/>
      </c>
      <c r="I22" s="177" t="str">
        <f ca="1">IF(ISERROR($V22),"",OFFSET('Smelter Look-up'!$H$4,$V22-4,0))</f>
        <v/>
      </c>
      <c r="J22" s="177" t="str">
        <f ca="1">IF(ISERROR($V22),"",OFFSET('Smelter Look-up'!$I$4,$V22-4,0))</f>
        <v/>
      </c>
      <c r="K22" s="216"/>
      <c r="L22" s="216"/>
      <c r="M22" s="216"/>
      <c r="N22" s="216"/>
      <c r="O22" s="216"/>
      <c r="P22" s="178"/>
      <c r="Q22" s="217"/>
      <c r="R22" s="175" t="str">
        <f ca="1">IF(ISERROR($V22),"",OFFSET('Smelter Look-up'!$C$4,$V22-4,0)&amp;"")</f>
        <v/>
      </c>
      <c r="S22" s="174" t="str">
        <f t="shared" ca="1" si="3"/>
        <v/>
      </c>
      <c r="T22" s="174" t="str">
        <f ca="1">IF(B22="","",IF(ISERROR(MATCH($J22,SorP!$B$1:$B$6279,0)),"",INDIRECT("'SorP'!$A$"&amp;MATCH($S22&amp;$J22,SorP!C:C,0))))</f>
        <v/>
      </c>
      <c r="U22" s="194"/>
      <c r="V22" s="218" t="e">
        <f>IF(C22="",NA(),IF(OR(C22="Smelter not listed",C22="Smelter not yet identified"),MATCH($B22&amp;$D22,'Smelter Look-up'!$J:$J,0),MATCH($B22&amp;$C22,'Smelter Look-up'!$J:$J,0)))</f>
        <v>#N/A</v>
      </c>
      <c r="X22" s="219">
        <f t="shared" ca="1" si="4"/>
        <v>0</v>
      </c>
      <c r="AB22" s="220" t="str">
        <f t="shared" si="5"/>
        <v/>
      </c>
    </row>
    <row r="23" spans="1:28" s="219" customFormat="1" ht="20.25">
      <c r="A23" s="174"/>
      <c r="B23" s="175" t="str">
        <f>IF(LEN(A23)=0,"",INDEX('Smelter Look-up'!$A:$A,MATCH($A23,'Smelter Look-up'!$E:$E,0)))</f>
        <v/>
      </c>
      <c r="C23" s="179" t="str">
        <f>IF(LEN(A23)=0,"",INDEX('Smelter Look-up'!$C:$C,MATCH($A23,'Smelter Look-up'!$E:$E,0)))</f>
        <v/>
      </c>
      <c r="D23" s="222"/>
      <c r="E23" s="175" t="str">
        <f ca="1">IF(ISERROR($V23),"",OFFSET('Smelter Look-up'!$D$4,$V23-4,0)&amp;"")</f>
        <v/>
      </c>
      <c r="F23" s="175" t="str">
        <f ca="1">IF(ISERROR($V23),"",OFFSET('Smelter Look-up'!$E$4,$V23-4,0))</f>
        <v/>
      </c>
      <c r="G23" s="175" t="str">
        <f ca="1">IF(C23=$X$4,IF(ISERROR($V23),"Enter smelter details","RMI"),IF(ISERROR($V23),"",OFFSET('Smelter Look-up'!$F$4,$V23-4,0)))</f>
        <v/>
      </c>
      <c r="H23" s="176" t="str">
        <f ca="1">IF(ISERROR($V23),"",OFFSET('Smelter Look-up'!$G$4,$V23-4,0))</f>
        <v/>
      </c>
      <c r="I23" s="177" t="str">
        <f ca="1">IF(ISERROR($V23),"",OFFSET('Smelter Look-up'!$H$4,$V23-4,0))</f>
        <v/>
      </c>
      <c r="J23" s="177" t="str">
        <f ca="1">IF(ISERROR($V23),"",OFFSET('Smelter Look-up'!$I$4,$V23-4,0))</f>
        <v/>
      </c>
      <c r="K23" s="216"/>
      <c r="L23" s="216"/>
      <c r="M23" s="216"/>
      <c r="N23" s="216"/>
      <c r="O23" s="216"/>
      <c r="P23" s="178"/>
      <c r="Q23" s="217"/>
      <c r="R23" s="175" t="str">
        <f ca="1">IF(ISERROR($V23),"",OFFSET('Smelter Look-up'!$C$4,$V23-4,0)&amp;"")</f>
        <v/>
      </c>
      <c r="S23" s="174" t="str">
        <f t="shared" ca="1" si="3"/>
        <v/>
      </c>
      <c r="T23" s="174" t="str">
        <f ca="1">IF(B23="","",IF(ISERROR(MATCH($J23,SorP!$B$1:$B$6279,0)),"",INDIRECT("'SorP'!$A$"&amp;MATCH($S23&amp;$J23,SorP!C:C,0))))</f>
        <v/>
      </c>
      <c r="U23" s="194"/>
      <c r="V23" s="218" t="e">
        <f>IF(C23="",NA(),IF(OR(C23="Smelter not listed",C23="Smelter not yet identified"),MATCH($B23&amp;$D23,'Smelter Look-up'!$J:$J,0),MATCH($B23&amp;$C23,'Smelter Look-up'!$J:$J,0)))</f>
        <v>#N/A</v>
      </c>
      <c r="X23" s="219">
        <f t="shared" ca="1" si="4"/>
        <v>0</v>
      </c>
      <c r="AB23" s="220" t="str">
        <f t="shared" si="5"/>
        <v/>
      </c>
    </row>
    <row r="24" spans="1:28" s="219" customFormat="1" ht="20.25">
      <c r="A24" s="174"/>
      <c r="B24" s="175" t="str">
        <f>IF(LEN(A24)=0,"",INDEX('Smelter Look-up'!$A:$A,MATCH($A24,'Smelter Look-up'!$E:$E,0)))</f>
        <v/>
      </c>
      <c r="C24" s="179" t="str">
        <f>IF(LEN(A24)=0,"",INDEX('Smelter Look-up'!$C:$C,MATCH($A24,'Smelter Look-up'!$E:$E,0)))</f>
        <v/>
      </c>
      <c r="D24" s="222"/>
      <c r="E24" s="175" t="str">
        <f ca="1">IF(ISERROR($V24),"",OFFSET('Smelter Look-up'!$D$4,$V24-4,0)&amp;"")</f>
        <v/>
      </c>
      <c r="F24" s="175" t="str">
        <f ca="1">IF(ISERROR($V24),"",OFFSET('Smelter Look-up'!$E$4,$V24-4,0))</f>
        <v/>
      </c>
      <c r="G24" s="175" t="str">
        <f ca="1">IF(C24=$X$4,IF(ISERROR($V24),"Enter smelter details","RMI"),IF(ISERROR($V24),"",OFFSET('Smelter Look-up'!$F$4,$V24-4,0)))</f>
        <v/>
      </c>
      <c r="H24" s="176" t="str">
        <f ca="1">IF(ISERROR($V24),"",OFFSET('Smelter Look-up'!$G$4,$V24-4,0))</f>
        <v/>
      </c>
      <c r="I24" s="177" t="str">
        <f ca="1">IF(ISERROR($V24),"",OFFSET('Smelter Look-up'!$H$4,$V24-4,0))</f>
        <v/>
      </c>
      <c r="J24" s="177" t="str">
        <f ca="1">IF(ISERROR($V24),"",OFFSET('Smelter Look-up'!$I$4,$V24-4,0))</f>
        <v/>
      </c>
      <c r="K24" s="216"/>
      <c r="L24" s="216"/>
      <c r="M24" s="216"/>
      <c r="N24" s="216"/>
      <c r="O24" s="216"/>
      <c r="P24" s="178"/>
      <c r="Q24" s="217"/>
      <c r="R24" s="175" t="str">
        <f ca="1">IF(ISERROR($V24),"",OFFSET('Smelter Look-up'!$C$4,$V24-4,0)&amp;"")</f>
        <v/>
      </c>
      <c r="S24" s="174" t="str">
        <f t="shared" ca="1" si="3"/>
        <v/>
      </c>
      <c r="T24" s="174" t="str">
        <f ca="1">IF(B24="","",IF(ISERROR(MATCH($J24,SorP!$B$1:$B$6279,0)),"",INDIRECT("'SorP'!$A$"&amp;MATCH($S24&amp;$J24,SorP!C:C,0))))</f>
        <v/>
      </c>
      <c r="U24" s="194"/>
      <c r="V24" s="218" t="e">
        <f>IF(C24="",NA(),IF(OR(C24="Smelter not listed",C24="Smelter not yet identified"),MATCH($B24&amp;$D24,'Smelter Look-up'!$J:$J,0),MATCH($B24&amp;$C24,'Smelter Look-up'!$J:$J,0)))</f>
        <v>#N/A</v>
      </c>
      <c r="X24" s="219">
        <f t="shared" ca="1" si="4"/>
        <v>0</v>
      </c>
      <c r="AB24" s="220" t="str">
        <f t="shared" si="5"/>
        <v/>
      </c>
    </row>
    <row r="25" spans="1:28" s="219" customFormat="1" ht="20.25">
      <c r="A25" s="174"/>
      <c r="B25" s="175" t="str">
        <f>IF(LEN(A25)=0,"",INDEX('Smelter Look-up'!$A:$A,MATCH($A25,'Smelter Look-up'!$E:$E,0)))</f>
        <v/>
      </c>
      <c r="C25" s="179" t="str">
        <f>IF(LEN(A25)=0,"",INDEX('Smelter Look-up'!$C:$C,MATCH($A25,'Smelter Look-up'!$E:$E,0)))</f>
        <v/>
      </c>
      <c r="D25" s="222"/>
      <c r="E25" s="175" t="str">
        <f ca="1">IF(ISERROR($V25),"",OFFSET('Smelter Look-up'!$D$4,$V25-4,0)&amp;"")</f>
        <v/>
      </c>
      <c r="F25" s="175" t="str">
        <f ca="1">IF(ISERROR($V25),"",OFFSET('Smelter Look-up'!$E$4,$V25-4,0))</f>
        <v/>
      </c>
      <c r="G25" s="175" t="str">
        <f ca="1">IF(C25=$X$4,IF(ISERROR($V25),"Enter smelter details","RMI"),IF(ISERROR($V25),"",OFFSET('Smelter Look-up'!$F$4,$V25-4,0)))</f>
        <v/>
      </c>
      <c r="H25" s="176" t="str">
        <f ca="1">IF(ISERROR($V25),"",OFFSET('Smelter Look-up'!$G$4,$V25-4,0))</f>
        <v/>
      </c>
      <c r="I25" s="177" t="str">
        <f ca="1">IF(ISERROR($V25),"",OFFSET('Smelter Look-up'!$H$4,$V25-4,0))</f>
        <v/>
      </c>
      <c r="J25" s="177" t="str">
        <f ca="1">IF(ISERROR($V25),"",OFFSET('Smelter Look-up'!$I$4,$V25-4,0))</f>
        <v/>
      </c>
      <c r="K25" s="216"/>
      <c r="L25" s="216"/>
      <c r="M25" s="216"/>
      <c r="N25" s="216"/>
      <c r="O25" s="216"/>
      <c r="P25" s="178"/>
      <c r="Q25" s="217"/>
      <c r="R25" s="175" t="str">
        <f ca="1">IF(ISERROR($V25),"",OFFSET('Smelter Look-up'!$C$4,$V25-4,0)&amp;"")</f>
        <v/>
      </c>
      <c r="S25" s="174" t="str">
        <f t="shared" ca="1" si="3"/>
        <v/>
      </c>
      <c r="T25" s="174" t="str">
        <f ca="1">IF(B25="","",IF(ISERROR(MATCH($J25,SorP!$B$1:$B$6279,0)),"",INDIRECT("'SorP'!$A$"&amp;MATCH($S25&amp;$J25,SorP!C:C,0))))</f>
        <v/>
      </c>
      <c r="U25" s="194"/>
      <c r="V25" s="218" t="e">
        <f>IF(C25="",NA(),IF(OR(C25="Smelter not listed",C25="Smelter not yet identified"),MATCH($B25&amp;$D25,'Smelter Look-up'!$J:$J,0),MATCH($B25&amp;$C25,'Smelter Look-up'!$J:$J,0)))</f>
        <v>#N/A</v>
      </c>
      <c r="X25" s="219">
        <f t="shared" ca="1" si="4"/>
        <v>0</v>
      </c>
      <c r="AB25" s="220" t="str">
        <f t="shared" si="5"/>
        <v/>
      </c>
    </row>
    <row r="26" spans="1:28" s="219" customFormat="1" ht="20.25">
      <c r="A26" s="174"/>
      <c r="B26" s="175" t="str">
        <f>IF(LEN(A26)=0,"",INDEX('Smelter Look-up'!$A:$A,MATCH($A26,'Smelter Look-up'!$E:$E,0)))</f>
        <v/>
      </c>
      <c r="C26" s="179" t="str">
        <f>IF(LEN(A26)=0,"",INDEX('Smelter Look-up'!$C:$C,MATCH($A26,'Smelter Look-up'!$E:$E,0)))</f>
        <v/>
      </c>
      <c r="D26" s="222"/>
      <c r="E26" s="175" t="str">
        <f ca="1">IF(ISERROR($V26),"",OFFSET('Smelter Look-up'!$D$4,$V26-4,0)&amp;"")</f>
        <v/>
      </c>
      <c r="F26" s="175" t="str">
        <f ca="1">IF(ISERROR($V26),"",OFFSET('Smelter Look-up'!$E$4,$V26-4,0))</f>
        <v/>
      </c>
      <c r="G26" s="175" t="str">
        <f ca="1">IF(C26=$X$4,IF(ISERROR($V26),"Enter smelter details","RMI"),IF(ISERROR($V26),"",OFFSET('Smelter Look-up'!$F$4,$V26-4,0)))</f>
        <v/>
      </c>
      <c r="H26" s="176" t="str">
        <f ca="1">IF(ISERROR($V26),"",OFFSET('Smelter Look-up'!$G$4,$V26-4,0))</f>
        <v/>
      </c>
      <c r="I26" s="177" t="str">
        <f ca="1">IF(ISERROR($V26),"",OFFSET('Smelter Look-up'!$H$4,$V26-4,0))</f>
        <v/>
      </c>
      <c r="J26" s="177" t="str">
        <f ca="1">IF(ISERROR($V26),"",OFFSET('Smelter Look-up'!$I$4,$V26-4,0))</f>
        <v/>
      </c>
      <c r="K26" s="216"/>
      <c r="L26" s="216"/>
      <c r="M26" s="216"/>
      <c r="N26" s="216"/>
      <c r="O26" s="216"/>
      <c r="P26" s="178"/>
      <c r="Q26" s="217"/>
      <c r="R26" s="175" t="str">
        <f ca="1">IF(ISERROR($V26),"",OFFSET('Smelter Look-up'!$C$4,$V26-4,0)&amp;"")</f>
        <v/>
      </c>
      <c r="S26" s="174" t="str">
        <f t="shared" ca="1" si="3"/>
        <v/>
      </c>
      <c r="T26" s="174" t="str">
        <f ca="1">IF(B26="","",IF(ISERROR(MATCH($J26,SorP!$B$1:$B$6279,0)),"",INDIRECT("'SorP'!$A$"&amp;MATCH($S26&amp;$J26,SorP!C:C,0))))</f>
        <v/>
      </c>
      <c r="U26" s="194"/>
      <c r="V26" s="218" t="e">
        <f>IF(C26="",NA(),IF(OR(C26="Smelter not listed",C26="Smelter not yet identified"),MATCH($B26&amp;$D26,'Smelter Look-up'!$J:$J,0),MATCH($B26&amp;$C26,'Smelter Look-up'!$J:$J,0)))</f>
        <v>#N/A</v>
      </c>
      <c r="X26" s="219">
        <f t="shared" ca="1" si="4"/>
        <v>0</v>
      </c>
      <c r="AB26" s="220" t="str">
        <f t="shared" si="5"/>
        <v/>
      </c>
    </row>
    <row r="27" spans="1:28" s="219" customFormat="1" ht="20.25">
      <c r="A27" s="174"/>
      <c r="B27" s="175" t="str">
        <f>IF(LEN(A27)=0,"",INDEX('Smelter Look-up'!$A:$A,MATCH($A27,'Smelter Look-up'!$E:$E,0)))</f>
        <v/>
      </c>
      <c r="C27" s="179" t="str">
        <f>IF(LEN(A27)=0,"",INDEX('Smelter Look-up'!$C:$C,MATCH($A27,'Smelter Look-up'!$E:$E,0)))</f>
        <v/>
      </c>
      <c r="D27" s="222"/>
      <c r="E27" s="175" t="str">
        <f ca="1">IF(ISERROR($V27),"",OFFSET('Smelter Look-up'!$D$4,$V27-4,0)&amp;"")</f>
        <v/>
      </c>
      <c r="F27" s="175" t="str">
        <f ca="1">IF(ISERROR($V27),"",OFFSET('Smelter Look-up'!$E$4,$V27-4,0))</f>
        <v/>
      </c>
      <c r="G27" s="175" t="str">
        <f ca="1">IF(C27=$X$4,IF(ISERROR($V27),"Enter smelter details","RMI"),IF(ISERROR($V27),"",OFFSET('Smelter Look-up'!$F$4,$V27-4,0)))</f>
        <v/>
      </c>
      <c r="H27" s="176" t="str">
        <f ca="1">IF(ISERROR($V27),"",OFFSET('Smelter Look-up'!$G$4,$V27-4,0))</f>
        <v/>
      </c>
      <c r="I27" s="177" t="str">
        <f ca="1">IF(ISERROR($V27),"",OFFSET('Smelter Look-up'!$H$4,$V27-4,0))</f>
        <v/>
      </c>
      <c r="J27" s="177" t="str">
        <f ca="1">IF(ISERROR($V27),"",OFFSET('Smelter Look-up'!$I$4,$V27-4,0))</f>
        <v/>
      </c>
      <c r="K27" s="216"/>
      <c r="L27" s="216"/>
      <c r="M27" s="216"/>
      <c r="N27" s="216"/>
      <c r="O27" s="216"/>
      <c r="P27" s="178"/>
      <c r="Q27" s="217"/>
      <c r="R27" s="175" t="str">
        <f ca="1">IF(ISERROR($V27),"",OFFSET('Smelter Look-up'!$C$4,$V27-4,0)&amp;"")</f>
        <v/>
      </c>
      <c r="S27" s="174" t="str">
        <f t="shared" ca="1" si="3"/>
        <v/>
      </c>
      <c r="T27" s="174" t="str">
        <f ca="1">IF(B27="","",IF(ISERROR(MATCH($J27,SorP!$B$1:$B$6279,0)),"",INDIRECT("'SorP'!$A$"&amp;MATCH($S27&amp;$J27,SorP!C:C,0))))</f>
        <v/>
      </c>
      <c r="U27" s="194"/>
      <c r="V27" s="218" t="e">
        <f>IF(C27="",NA(),IF(OR(C27="Smelter not listed",C27="Smelter not yet identified"),MATCH($B27&amp;$D27,'Smelter Look-up'!$J:$J,0),MATCH($B27&amp;$C27,'Smelter Look-up'!$J:$J,0)))</f>
        <v>#N/A</v>
      </c>
      <c r="X27" s="219">
        <f t="shared" ca="1" si="4"/>
        <v>0</v>
      </c>
      <c r="AB27" s="220" t="str">
        <f t="shared" si="5"/>
        <v/>
      </c>
    </row>
    <row r="28" spans="1:28" s="219" customFormat="1" ht="20.25">
      <c r="A28" s="174"/>
      <c r="B28" s="175" t="str">
        <f>IF(LEN(A28)=0,"",INDEX('Smelter Look-up'!$A:$A,MATCH($A28,'Smelter Look-up'!$E:$E,0)))</f>
        <v/>
      </c>
      <c r="C28" s="179" t="str">
        <f>IF(LEN(A28)=0,"",INDEX('Smelter Look-up'!$C:$C,MATCH($A28,'Smelter Look-up'!$E:$E,0)))</f>
        <v/>
      </c>
      <c r="D28" s="222"/>
      <c r="E28" s="175" t="str">
        <f ca="1">IF(ISERROR($V28),"",OFFSET('Smelter Look-up'!$D$4,$V28-4,0)&amp;"")</f>
        <v/>
      </c>
      <c r="F28" s="175" t="str">
        <f ca="1">IF(ISERROR($V28),"",OFFSET('Smelter Look-up'!$E$4,$V28-4,0))</f>
        <v/>
      </c>
      <c r="G28" s="175" t="str">
        <f ca="1">IF(C28=$X$4,IF(ISERROR($V28),"Enter smelter details","RMI"),IF(ISERROR($V28),"",OFFSET('Smelter Look-up'!$F$4,$V28-4,0)))</f>
        <v/>
      </c>
      <c r="H28" s="176" t="str">
        <f ca="1">IF(ISERROR($V28),"",OFFSET('Smelter Look-up'!$G$4,$V28-4,0))</f>
        <v/>
      </c>
      <c r="I28" s="177" t="str">
        <f ca="1">IF(ISERROR($V28),"",OFFSET('Smelter Look-up'!$H$4,$V28-4,0))</f>
        <v/>
      </c>
      <c r="J28" s="177" t="str">
        <f ca="1">IF(ISERROR($V28),"",OFFSET('Smelter Look-up'!$I$4,$V28-4,0))</f>
        <v/>
      </c>
      <c r="K28" s="216"/>
      <c r="L28" s="216"/>
      <c r="M28" s="216"/>
      <c r="N28" s="216"/>
      <c r="O28" s="216"/>
      <c r="P28" s="178"/>
      <c r="Q28" s="217"/>
      <c r="R28" s="175" t="str">
        <f ca="1">IF(ISERROR($V28),"",OFFSET('Smelter Look-up'!$C$4,$V28-4,0)&amp;"")</f>
        <v/>
      </c>
      <c r="S28" s="174" t="str">
        <f t="shared" ca="1" si="3"/>
        <v/>
      </c>
      <c r="T28" s="174" t="str">
        <f ca="1">IF(B28="","",IF(ISERROR(MATCH($J28,SorP!$B$1:$B$6279,0)),"",INDIRECT("'SorP'!$A$"&amp;MATCH($S28&amp;$J28,SorP!C:C,0))))</f>
        <v/>
      </c>
      <c r="U28" s="194"/>
      <c r="V28" s="218" t="e">
        <f>IF(C28="",NA(),IF(OR(C28="Smelter not listed",C28="Smelter not yet identified"),MATCH($B28&amp;$D28,'Smelter Look-up'!$J:$J,0),MATCH($B28&amp;$C28,'Smelter Look-up'!$J:$J,0)))</f>
        <v>#N/A</v>
      </c>
      <c r="X28" s="219">
        <f t="shared" ca="1" si="4"/>
        <v>0</v>
      </c>
      <c r="AB28" s="220" t="str">
        <f t="shared" si="5"/>
        <v/>
      </c>
    </row>
    <row r="29" spans="1:28" s="219" customFormat="1" ht="20.25">
      <c r="A29" s="174"/>
      <c r="B29" s="175" t="str">
        <f>IF(LEN(A29)=0,"",INDEX('Smelter Look-up'!$A:$A,MATCH($A29,'Smelter Look-up'!$E:$E,0)))</f>
        <v/>
      </c>
      <c r="C29" s="179" t="str">
        <f>IF(LEN(A29)=0,"",INDEX('Smelter Look-up'!$C:$C,MATCH($A29,'Smelter Look-up'!$E:$E,0)))</f>
        <v/>
      </c>
      <c r="D29" s="222"/>
      <c r="E29" s="175" t="str">
        <f ca="1">IF(ISERROR($V29),"",OFFSET('Smelter Look-up'!$D$4,$V29-4,0)&amp;"")</f>
        <v/>
      </c>
      <c r="F29" s="175" t="str">
        <f ca="1">IF(ISERROR($V29),"",OFFSET('Smelter Look-up'!$E$4,$V29-4,0))</f>
        <v/>
      </c>
      <c r="G29" s="175" t="str">
        <f ca="1">IF(C29=$X$4,IF(ISERROR($V29),"Enter smelter details","RMI"),IF(ISERROR($V29),"",OFFSET('Smelter Look-up'!$F$4,$V29-4,0)))</f>
        <v/>
      </c>
      <c r="H29" s="176" t="str">
        <f ca="1">IF(ISERROR($V29),"",OFFSET('Smelter Look-up'!$G$4,$V29-4,0))</f>
        <v/>
      </c>
      <c r="I29" s="177" t="str">
        <f ca="1">IF(ISERROR($V29),"",OFFSET('Smelter Look-up'!$H$4,$V29-4,0))</f>
        <v/>
      </c>
      <c r="J29" s="177" t="str">
        <f ca="1">IF(ISERROR($V29),"",OFFSET('Smelter Look-up'!$I$4,$V29-4,0))</f>
        <v/>
      </c>
      <c r="K29" s="216"/>
      <c r="L29" s="216"/>
      <c r="M29" s="216"/>
      <c r="N29" s="216"/>
      <c r="O29" s="216"/>
      <c r="P29" s="178"/>
      <c r="Q29" s="217"/>
      <c r="R29" s="175" t="str">
        <f ca="1">IF(ISERROR($V29),"",OFFSET('Smelter Look-up'!$C$4,$V29-4,0)&amp;"")</f>
        <v/>
      </c>
      <c r="S29" s="174" t="str">
        <f t="shared" ca="1" si="3"/>
        <v/>
      </c>
      <c r="T29" s="174" t="str">
        <f ca="1">IF(B29="","",IF(ISERROR(MATCH($J29,SorP!$B$1:$B$6279,0)),"",INDIRECT("'SorP'!$A$"&amp;MATCH($S29&amp;$J29,SorP!C:C,0))))</f>
        <v/>
      </c>
      <c r="U29" s="194"/>
      <c r="V29" s="218" t="e">
        <f>IF(C29="",NA(),IF(OR(C29="Smelter not listed",C29="Smelter not yet identified"),MATCH($B29&amp;$D29,'Smelter Look-up'!$J:$J,0),MATCH($B29&amp;$C29,'Smelter Look-up'!$J:$J,0)))</f>
        <v>#N/A</v>
      </c>
      <c r="X29" s="219">
        <f t="shared" ca="1" si="4"/>
        <v>0</v>
      </c>
      <c r="AB29" s="220" t="str">
        <f t="shared" si="5"/>
        <v/>
      </c>
    </row>
    <row r="30" spans="1:28" s="219" customFormat="1" ht="20.25">
      <c r="A30" s="174"/>
      <c r="B30" s="175" t="str">
        <f>IF(LEN(A30)=0,"",INDEX('Smelter Look-up'!$A:$A,MATCH($A30,'Smelter Look-up'!$E:$E,0)))</f>
        <v/>
      </c>
      <c r="C30" s="179" t="str">
        <f>IF(LEN(A30)=0,"",INDEX('Smelter Look-up'!$C:$C,MATCH($A30,'Smelter Look-up'!$E:$E,0)))</f>
        <v/>
      </c>
      <c r="D30" s="222"/>
      <c r="E30" s="175" t="str">
        <f ca="1">IF(ISERROR($V30),"",OFFSET('Smelter Look-up'!$D$4,$V30-4,0)&amp;"")</f>
        <v/>
      </c>
      <c r="F30" s="175" t="str">
        <f ca="1">IF(ISERROR($V30),"",OFFSET('Smelter Look-up'!$E$4,$V30-4,0))</f>
        <v/>
      </c>
      <c r="G30" s="175" t="str">
        <f ca="1">IF(C30=$X$4,IF(ISERROR($V30),"Enter smelter details","RMI"),IF(ISERROR($V30),"",OFFSET('Smelter Look-up'!$F$4,$V30-4,0)))</f>
        <v/>
      </c>
      <c r="H30" s="176" t="str">
        <f ca="1">IF(ISERROR($V30),"",OFFSET('Smelter Look-up'!$G$4,$V30-4,0))</f>
        <v/>
      </c>
      <c r="I30" s="177" t="str">
        <f ca="1">IF(ISERROR($V30),"",OFFSET('Smelter Look-up'!$H$4,$V30-4,0))</f>
        <v/>
      </c>
      <c r="J30" s="177" t="str">
        <f ca="1">IF(ISERROR($V30),"",OFFSET('Smelter Look-up'!$I$4,$V30-4,0))</f>
        <v/>
      </c>
      <c r="K30" s="216"/>
      <c r="L30" s="216"/>
      <c r="M30" s="216"/>
      <c r="N30" s="216"/>
      <c r="O30" s="216"/>
      <c r="P30" s="178"/>
      <c r="Q30" s="217"/>
      <c r="R30" s="175" t="str">
        <f ca="1">IF(ISERROR($V30),"",OFFSET('Smelter Look-up'!$C$4,$V30-4,0)&amp;"")</f>
        <v/>
      </c>
      <c r="S30" s="174" t="str">
        <f t="shared" ca="1" si="3"/>
        <v/>
      </c>
      <c r="T30" s="174" t="str">
        <f ca="1">IF(B30="","",IF(ISERROR(MATCH($J30,SorP!$B$1:$B$6279,0)),"",INDIRECT("'SorP'!$A$"&amp;MATCH($S30&amp;$J30,SorP!C:C,0))))</f>
        <v/>
      </c>
      <c r="U30" s="194"/>
      <c r="V30" s="218" t="e">
        <f>IF(C30="",NA(),IF(OR(C30="Smelter not listed",C30="Smelter not yet identified"),MATCH($B30&amp;$D30,'Smelter Look-up'!$J:$J,0),MATCH($B30&amp;$C30,'Smelter Look-up'!$J:$J,0)))</f>
        <v>#N/A</v>
      </c>
      <c r="X30" s="219">
        <f t="shared" ca="1" si="4"/>
        <v>0</v>
      </c>
      <c r="AB30" s="220" t="str">
        <f t="shared" si="5"/>
        <v/>
      </c>
    </row>
    <row r="31" spans="1:28" s="219" customFormat="1" ht="20.25">
      <c r="A31" s="174"/>
      <c r="B31" s="175" t="str">
        <f>IF(LEN(A31)=0,"",INDEX('Smelter Look-up'!$A:$A,MATCH($A31,'Smelter Look-up'!$E:$E,0)))</f>
        <v/>
      </c>
      <c r="C31" s="179" t="str">
        <f>IF(LEN(A31)=0,"",INDEX('Smelter Look-up'!$C:$C,MATCH($A31,'Smelter Look-up'!$E:$E,0)))</f>
        <v/>
      </c>
      <c r="D31" s="222"/>
      <c r="E31" s="175" t="str">
        <f ca="1">IF(ISERROR($V31),"",OFFSET('Smelter Look-up'!$D$4,$V31-4,0)&amp;"")</f>
        <v/>
      </c>
      <c r="F31" s="175" t="str">
        <f ca="1">IF(ISERROR($V31),"",OFFSET('Smelter Look-up'!$E$4,$V31-4,0))</f>
        <v/>
      </c>
      <c r="G31" s="175" t="str">
        <f ca="1">IF(C31=$X$4,IF(ISERROR($V31),"Enter smelter details","RMI"),IF(ISERROR($V31),"",OFFSET('Smelter Look-up'!$F$4,$V31-4,0)))</f>
        <v/>
      </c>
      <c r="H31" s="176" t="str">
        <f ca="1">IF(ISERROR($V31),"",OFFSET('Smelter Look-up'!$G$4,$V31-4,0))</f>
        <v/>
      </c>
      <c r="I31" s="177" t="str">
        <f ca="1">IF(ISERROR($V31),"",OFFSET('Smelter Look-up'!$H$4,$V31-4,0))</f>
        <v/>
      </c>
      <c r="J31" s="177" t="str">
        <f ca="1">IF(ISERROR($V31),"",OFFSET('Smelter Look-up'!$I$4,$V31-4,0))</f>
        <v/>
      </c>
      <c r="K31" s="216"/>
      <c r="L31" s="216"/>
      <c r="M31" s="216"/>
      <c r="N31" s="216"/>
      <c r="O31" s="216"/>
      <c r="P31" s="178"/>
      <c r="Q31" s="217"/>
      <c r="R31" s="175" t="str">
        <f ca="1">IF(ISERROR($V31),"",OFFSET('Smelter Look-up'!$C$4,$V31-4,0)&amp;"")</f>
        <v/>
      </c>
      <c r="S31" s="174" t="str">
        <f t="shared" ca="1" si="3"/>
        <v/>
      </c>
      <c r="T31" s="174" t="str">
        <f ca="1">IF(B31="","",IF(ISERROR(MATCH($J31,SorP!$B$1:$B$6279,0)),"",INDIRECT("'SorP'!$A$"&amp;MATCH($S31&amp;$J31,SorP!C:C,0))))</f>
        <v/>
      </c>
      <c r="U31" s="194"/>
      <c r="V31" s="218" t="e">
        <f>IF(C31="",NA(),IF(OR(C31="Smelter not listed",C31="Smelter not yet identified"),MATCH($B31&amp;$D31,'Smelter Look-up'!$J:$J,0),MATCH($B31&amp;$C31,'Smelter Look-up'!$J:$J,0)))</f>
        <v>#N/A</v>
      </c>
      <c r="X31" s="219">
        <f t="shared" ca="1" si="4"/>
        <v>0</v>
      </c>
      <c r="AB31" s="220" t="str">
        <f t="shared" si="5"/>
        <v/>
      </c>
    </row>
    <row r="32" spans="1:28" s="219" customFormat="1" ht="20.25">
      <c r="A32" s="174"/>
      <c r="B32" s="175" t="str">
        <f>IF(LEN(A32)=0,"",INDEX('Smelter Look-up'!$A:$A,MATCH($A32,'Smelter Look-up'!$E:$E,0)))</f>
        <v/>
      </c>
      <c r="C32" s="179" t="str">
        <f>IF(LEN(A32)=0,"",INDEX('Smelter Look-up'!$C:$C,MATCH($A32,'Smelter Look-up'!$E:$E,0)))</f>
        <v/>
      </c>
      <c r="D32" s="222"/>
      <c r="E32" s="175" t="str">
        <f ca="1">IF(ISERROR($V32),"",OFFSET('Smelter Look-up'!$D$4,$V32-4,0)&amp;"")</f>
        <v/>
      </c>
      <c r="F32" s="175" t="str">
        <f ca="1">IF(ISERROR($V32),"",OFFSET('Smelter Look-up'!$E$4,$V32-4,0))</f>
        <v/>
      </c>
      <c r="G32" s="175" t="str">
        <f ca="1">IF(C32=$X$4,IF(ISERROR($V32),"Enter smelter details","RMI"),IF(ISERROR($V32),"",OFFSET('Smelter Look-up'!$F$4,$V32-4,0)))</f>
        <v/>
      </c>
      <c r="H32" s="176" t="str">
        <f ca="1">IF(ISERROR($V32),"",OFFSET('Smelter Look-up'!$G$4,$V32-4,0))</f>
        <v/>
      </c>
      <c r="I32" s="177" t="str">
        <f ca="1">IF(ISERROR($V32),"",OFFSET('Smelter Look-up'!$H$4,$V32-4,0))</f>
        <v/>
      </c>
      <c r="J32" s="177" t="str">
        <f ca="1">IF(ISERROR($V32),"",OFFSET('Smelter Look-up'!$I$4,$V32-4,0))</f>
        <v/>
      </c>
      <c r="K32" s="216"/>
      <c r="L32" s="216"/>
      <c r="M32" s="216"/>
      <c r="N32" s="216"/>
      <c r="O32" s="216"/>
      <c r="P32" s="178"/>
      <c r="Q32" s="217"/>
      <c r="R32" s="175" t="str">
        <f ca="1">IF(ISERROR($V32),"",OFFSET('Smelter Look-up'!$C$4,$V32-4,0)&amp;"")</f>
        <v/>
      </c>
      <c r="S32" s="174" t="str">
        <f t="shared" ca="1" si="3"/>
        <v/>
      </c>
      <c r="T32" s="174" t="str">
        <f ca="1">IF(B32="","",IF(ISERROR(MATCH($J32,SorP!$B$1:$B$6279,0)),"",INDIRECT("'SorP'!$A$"&amp;MATCH($S32&amp;$J32,SorP!C:C,0))))</f>
        <v/>
      </c>
      <c r="U32" s="194"/>
      <c r="V32" s="218" t="e">
        <f>IF(C32="",NA(),IF(OR(C32="Smelter not listed",C32="Smelter not yet identified"),MATCH($B32&amp;$D32,'Smelter Look-up'!$J:$J,0),MATCH($B32&amp;$C32,'Smelter Look-up'!$J:$J,0)))</f>
        <v>#N/A</v>
      </c>
      <c r="X32" s="219">
        <f t="shared" ca="1" si="4"/>
        <v>0</v>
      </c>
      <c r="AB32" s="220" t="str">
        <f t="shared" si="5"/>
        <v/>
      </c>
    </row>
    <row r="33" spans="1:28" s="219" customFormat="1" ht="20.25">
      <c r="A33" s="174"/>
      <c r="B33" s="175" t="str">
        <f>IF(LEN(A33)=0,"",INDEX('Smelter Look-up'!$A:$A,MATCH($A33,'Smelter Look-up'!$E:$E,0)))</f>
        <v/>
      </c>
      <c r="C33" s="179" t="str">
        <f>IF(LEN(A33)=0,"",INDEX('Smelter Look-up'!$C:$C,MATCH($A33,'Smelter Look-up'!$E:$E,0)))</f>
        <v/>
      </c>
      <c r="D33" s="222"/>
      <c r="E33" s="175" t="str">
        <f ca="1">IF(ISERROR($V33),"",OFFSET('Smelter Look-up'!$D$4,$V33-4,0)&amp;"")</f>
        <v/>
      </c>
      <c r="F33" s="175" t="str">
        <f ca="1">IF(ISERROR($V33),"",OFFSET('Smelter Look-up'!$E$4,$V33-4,0))</f>
        <v/>
      </c>
      <c r="G33" s="175" t="str">
        <f ca="1">IF(C33=$X$4,IF(ISERROR($V33),"Enter smelter details","RMI"),IF(ISERROR($V33),"",OFFSET('Smelter Look-up'!$F$4,$V33-4,0)))</f>
        <v/>
      </c>
      <c r="H33" s="176" t="str">
        <f ca="1">IF(ISERROR($V33),"",OFFSET('Smelter Look-up'!$G$4,$V33-4,0))</f>
        <v/>
      </c>
      <c r="I33" s="177" t="str">
        <f ca="1">IF(ISERROR($V33),"",OFFSET('Smelter Look-up'!$H$4,$V33-4,0))</f>
        <v/>
      </c>
      <c r="J33" s="177" t="str">
        <f ca="1">IF(ISERROR($V33),"",OFFSET('Smelter Look-up'!$I$4,$V33-4,0))</f>
        <v/>
      </c>
      <c r="K33" s="216"/>
      <c r="L33" s="216"/>
      <c r="M33" s="216"/>
      <c r="N33" s="216"/>
      <c r="O33" s="216"/>
      <c r="P33" s="178"/>
      <c r="Q33" s="217"/>
      <c r="R33" s="175" t="str">
        <f ca="1">IF(ISERROR($V33),"",OFFSET('Smelter Look-up'!$C$4,$V33-4,0)&amp;"")</f>
        <v/>
      </c>
      <c r="S33" s="174" t="str">
        <f t="shared" ca="1" si="3"/>
        <v/>
      </c>
      <c r="T33" s="174" t="str">
        <f ca="1">IF(B33="","",IF(ISERROR(MATCH($J33,SorP!$B$1:$B$6279,0)),"",INDIRECT("'SorP'!$A$"&amp;MATCH($S33&amp;$J33,SorP!C:C,0))))</f>
        <v/>
      </c>
      <c r="U33" s="194"/>
      <c r="V33" s="218" t="e">
        <f>IF(C33="",NA(),IF(OR(C33="Smelter not listed",C33="Smelter not yet identified"),MATCH($B33&amp;$D33,'Smelter Look-up'!$J:$J,0),MATCH($B33&amp;$C33,'Smelter Look-up'!$J:$J,0)))</f>
        <v>#N/A</v>
      </c>
      <c r="X33" s="219">
        <f t="shared" ca="1" si="4"/>
        <v>0</v>
      </c>
      <c r="AB33" s="220" t="str">
        <f t="shared" si="5"/>
        <v/>
      </c>
    </row>
    <row r="34" spans="1:28" s="219" customFormat="1" ht="20.25">
      <c r="A34" s="174"/>
      <c r="B34" s="175" t="str">
        <f>IF(LEN(A34)=0,"",INDEX('Smelter Look-up'!$A:$A,MATCH($A34,'Smelter Look-up'!$E:$E,0)))</f>
        <v/>
      </c>
      <c r="C34" s="179" t="str">
        <f>IF(LEN(A34)=0,"",INDEX('Smelter Look-up'!$C:$C,MATCH($A34,'Smelter Look-up'!$E:$E,0)))</f>
        <v/>
      </c>
      <c r="D34" s="222"/>
      <c r="E34" s="175" t="str">
        <f ca="1">IF(ISERROR($V34),"",OFFSET('Smelter Look-up'!$D$4,$V34-4,0)&amp;"")</f>
        <v/>
      </c>
      <c r="F34" s="175" t="str">
        <f ca="1">IF(ISERROR($V34),"",OFFSET('Smelter Look-up'!$E$4,$V34-4,0))</f>
        <v/>
      </c>
      <c r="G34" s="175" t="str">
        <f ca="1">IF(C34=$X$4,IF(ISERROR($V34),"Enter smelter details","RMI"),IF(ISERROR($V34),"",OFFSET('Smelter Look-up'!$F$4,$V34-4,0)))</f>
        <v/>
      </c>
      <c r="H34" s="176" t="str">
        <f ca="1">IF(ISERROR($V34),"",OFFSET('Smelter Look-up'!$G$4,$V34-4,0))</f>
        <v/>
      </c>
      <c r="I34" s="177" t="str">
        <f ca="1">IF(ISERROR($V34),"",OFFSET('Smelter Look-up'!$H$4,$V34-4,0))</f>
        <v/>
      </c>
      <c r="J34" s="177" t="str">
        <f ca="1">IF(ISERROR($V34),"",OFFSET('Smelter Look-up'!$I$4,$V34-4,0))</f>
        <v/>
      </c>
      <c r="K34" s="216"/>
      <c r="L34" s="216"/>
      <c r="M34" s="216"/>
      <c r="N34" s="216"/>
      <c r="O34" s="216"/>
      <c r="P34" s="178"/>
      <c r="Q34" s="217"/>
      <c r="R34" s="175" t="str">
        <f ca="1">IF(ISERROR($V34),"",OFFSET('Smelter Look-up'!$C$4,$V34-4,0)&amp;"")</f>
        <v/>
      </c>
      <c r="S34" s="174" t="str">
        <f t="shared" ca="1" si="3"/>
        <v/>
      </c>
      <c r="T34" s="174" t="str">
        <f ca="1">IF(B34="","",IF(ISERROR(MATCH($J34,SorP!$B$1:$B$6279,0)),"",INDIRECT("'SorP'!$A$"&amp;MATCH($S34&amp;$J34,SorP!C:C,0))))</f>
        <v/>
      </c>
      <c r="U34" s="194"/>
      <c r="V34" s="218" t="e">
        <f>IF(C34="",NA(),IF(OR(C34="Smelter not listed",C34="Smelter not yet identified"),MATCH($B34&amp;$D34,'Smelter Look-up'!$J:$J,0),MATCH($B34&amp;$C34,'Smelter Look-up'!$J:$J,0)))</f>
        <v>#N/A</v>
      </c>
      <c r="X34" s="219">
        <f t="shared" ca="1" si="4"/>
        <v>0</v>
      </c>
      <c r="AB34" s="220" t="str">
        <f t="shared" si="5"/>
        <v/>
      </c>
    </row>
    <row r="35" spans="1:28" s="219" customFormat="1" ht="20.25">
      <c r="A35" s="174"/>
      <c r="B35" s="175" t="str">
        <f>IF(LEN(A35)=0,"",INDEX('Smelter Look-up'!$A:$A,MATCH($A35,'Smelter Look-up'!$E:$E,0)))</f>
        <v/>
      </c>
      <c r="C35" s="179" t="str">
        <f>IF(LEN(A35)=0,"",INDEX('Smelter Look-up'!$C:$C,MATCH($A35,'Smelter Look-up'!$E:$E,0)))</f>
        <v/>
      </c>
      <c r="D35" s="222"/>
      <c r="E35" s="175" t="str">
        <f ca="1">IF(ISERROR($V35),"",OFFSET('Smelter Look-up'!$D$4,$V35-4,0)&amp;"")</f>
        <v/>
      </c>
      <c r="F35" s="175" t="str">
        <f ca="1">IF(ISERROR($V35),"",OFFSET('Smelter Look-up'!$E$4,$V35-4,0))</f>
        <v/>
      </c>
      <c r="G35" s="175" t="str">
        <f ca="1">IF(C35=$X$4,IF(ISERROR($V35),"Enter smelter details","RMI"),IF(ISERROR($V35),"",OFFSET('Smelter Look-up'!$F$4,$V35-4,0)))</f>
        <v/>
      </c>
      <c r="H35" s="176" t="str">
        <f ca="1">IF(ISERROR($V35),"",OFFSET('Smelter Look-up'!$G$4,$V35-4,0))</f>
        <v/>
      </c>
      <c r="I35" s="177" t="str">
        <f ca="1">IF(ISERROR($V35),"",OFFSET('Smelter Look-up'!$H$4,$V35-4,0))</f>
        <v/>
      </c>
      <c r="J35" s="177" t="str">
        <f ca="1">IF(ISERROR($V35),"",OFFSET('Smelter Look-up'!$I$4,$V35-4,0))</f>
        <v/>
      </c>
      <c r="K35" s="216"/>
      <c r="L35" s="216"/>
      <c r="M35" s="216"/>
      <c r="N35" s="216"/>
      <c r="O35" s="216"/>
      <c r="P35" s="178"/>
      <c r="Q35" s="217"/>
      <c r="R35" s="175" t="str">
        <f ca="1">IF(ISERROR($V35),"",OFFSET('Smelter Look-up'!$C$4,$V35-4,0)&amp;"")</f>
        <v/>
      </c>
      <c r="S35" s="174" t="str">
        <f t="shared" ca="1" si="3"/>
        <v/>
      </c>
      <c r="T35" s="174" t="str">
        <f ca="1">IF(B35="","",IF(ISERROR(MATCH($J35,SorP!$B$1:$B$6279,0)),"",INDIRECT("'SorP'!$A$"&amp;MATCH($S35&amp;$J35,SorP!C:C,0))))</f>
        <v/>
      </c>
      <c r="U35" s="194"/>
      <c r="V35" s="218" t="e">
        <f>IF(C35="",NA(),IF(OR(C35="Smelter not listed",C35="Smelter not yet identified"),MATCH($B35&amp;$D35,'Smelter Look-up'!$J:$J,0),MATCH($B35&amp;$C35,'Smelter Look-up'!$J:$J,0)))</f>
        <v>#N/A</v>
      </c>
      <c r="X35" s="219">
        <f t="shared" ca="1" si="4"/>
        <v>0</v>
      </c>
      <c r="AB35" s="220" t="str">
        <f t="shared" si="5"/>
        <v/>
      </c>
    </row>
    <row r="36" spans="1:28" s="219" customFormat="1" ht="20.25">
      <c r="A36" s="174"/>
      <c r="B36" s="175" t="str">
        <f>IF(LEN(A36)=0,"",INDEX('Smelter Look-up'!$A:$A,MATCH($A36,'Smelter Look-up'!$E:$E,0)))</f>
        <v/>
      </c>
      <c r="C36" s="179" t="str">
        <f>IF(LEN(A36)=0,"",INDEX('Smelter Look-up'!$C:$C,MATCH($A36,'Smelter Look-up'!$E:$E,0)))</f>
        <v/>
      </c>
      <c r="D36" s="222"/>
      <c r="E36" s="175" t="str">
        <f ca="1">IF(ISERROR($V36),"",OFFSET('Smelter Look-up'!$D$4,$V36-4,0)&amp;"")</f>
        <v/>
      </c>
      <c r="F36" s="175" t="str">
        <f ca="1">IF(ISERROR($V36),"",OFFSET('Smelter Look-up'!$E$4,$V36-4,0))</f>
        <v/>
      </c>
      <c r="G36" s="175" t="str">
        <f ca="1">IF(C36=$X$4,IF(ISERROR($V36),"Enter smelter details","RMI"),IF(ISERROR($V36),"",OFFSET('Smelter Look-up'!$F$4,$V36-4,0)))</f>
        <v/>
      </c>
      <c r="H36" s="176" t="str">
        <f ca="1">IF(ISERROR($V36),"",OFFSET('Smelter Look-up'!$G$4,$V36-4,0))</f>
        <v/>
      </c>
      <c r="I36" s="177" t="str">
        <f ca="1">IF(ISERROR($V36),"",OFFSET('Smelter Look-up'!$H$4,$V36-4,0))</f>
        <v/>
      </c>
      <c r="J36" s="177" t="str">
        <f ca="1">IF(ISERROR($V36),"",OFFSET('Smelter Look-up'!$I$4,$V36-4,0))</f>
        <v/>
      </c>
      <c r="K36" s="216"/>
      <c r="L36" s="216"/>
      <c r="M36" s="216"/>
      <c r="N36" s="216"/>
      <c r="O36" s="216"/>
      <c r="P36" s="178"/>
      <c r="Q36" s="217"/>
      <c r="R36" s="175" t="str">
        <f ca="1">IF(ISERROR($V36),"",OFFSET('Smelter Look-up'!$C$4,$V36-4,0)&amp;"")</f>
        <v/>
      </c>
      <c r="S36" s="174" t="str">
        <f t="shared" ca="1" si="3"/>
        <v/>
      </c>
      <c r="T36" s="174" t="str">
        <f ca="1">IF(B36="","",IF(ISERROR(MATCH($J36,SorP!$B$1:$B$6279,0)),"",INDIRECT("'SorP'!$A$"&amp;MATCH($S36&amp;$J36,SorP!C:C,0))))</f>
        <v/>
      </c>
      <c r="U36" s="194"/>
      <c r="V36" s="218" t="e">
        <f>IF(C36="",NA(),IF(OR(C36="Smelter not listed",C36="Smelter not yet identified"),MATCH($B36&amp;$D36,'Smelter Look-up'!$J:$J,0),MATCH($B36&amp;$C36,'Smelter Look-up'!$J:$J,0)))</f>
        <v>#N/A</v>
      </c>
      <c r="X36" s="219">
        <f t="shared" ca="1" si="4"/>
        <v>0</v>
      </c>
      <c r="AB36" s="220" t="str">
        <f t="shared" si="5"/>
        <v/>
      </c>
    </row>
    <row r="37" spans="1:28" s="219" customFormat="1" ht="20.25">
      <c r="A37" s="174"/>
      <c r="B37" s="175" t="str">
        <f>IF(LEN(A37)=0,"",INDEX('Smelter Look-up'!$A:$A,MATCH($A37,'Smelter Look-up'!$E:$E,0)))</f>
        <v/>
      </c>
      <c r="C37" s="179" t="str">
        <f>IF(LEN(A37)=0,"",INDEX('Smelter Look-up'!$C:$C,MATCH($A37,'Smelter Look-up'!$E:$E,0)))</f>
        <v/>
      </c>
      <c r="D37" s="222"/>
      <c r="E37" s="175" t="str">
        <f ca="1">IF(ISERROR($V37),"",OFFSET('Smelter Look-up'!$D$4,$V37-4,0)&amp;"")</f>
        <v/>
      </c>
      <c r="F37" s="175" t="str">
        <f ca="1">IF(ISERROR($V37),"",OFFSET('Smelter Look-up'!$E$4,$V37-4,0))</f>
        <v/>
      </c>
      <c r="G37" s="175" t="str">
        <f ca="1">IF(C37=$X$4,IF(ISERROR($V37),"Enter smelter details","RMI"),IF(ISERROR($V37),"",OFFSET('Smelter Look-up'!$F$4,$V37-4,0)))</f>
        <v/>
      </c>
      <c r="H37" s="176" t="str">
        <f ca="1">IF(ISERROR($V37),"",OFFSET('Smelter Look-up'!$G$4,$V37-4,0))</f>
        <v/>
      </c>
      <c r="I37" s="177" t="str">
        <f ca="1">IF(ISERROR($V37),"",OFFSET('Smelter Look-up'!$H$4,$V37-4,0))</f>
        <v/>
      </c>
      <c r="J37" s="177" t="str">
        <f ca="1">IF(ISERROR($V37),"",OFFSET('Smelter Look-up'!$I$4,$V37-4,0))</f>
        <v/>
      </c>
      <c r="K37" s="216"/>
      <c r="L37" s="216"/>
      <c r="M37" s="216"/>
      <c r="N37" s="216"/>
      <c r="O37" s="216"/>
      <c r="P37" s="178"/>
      <c r="Q37" s="217"/>
      <c r="R37" s="175" t="str">
        <f ca="1">IF(ISERROR($V37),"",OFFSET('Smelter Look-up'!$C$4,$V37-4,0)&amp;"")</f>
        <v/>
      </c>
      <c r="S37" s="174" t="str">
        <f t="shared" ca="1" si="3"/>
        <v/>
      </c>
      <c r="T37" s="174" t="str">
        <f ca="1">IF(B37="","",IF(ISERROR(MATCH($J37,SorP!$B$1:$B$6279,0)),"",INDIRECT("'SorP'!$A$"&amp;MATCH($S37&amp;$J37,SorP!C:C,0))))</f>
        <v/>
      </c>
      <c r="U37" s="194"/>
      <c r="V37" s="218" t="e">
        <f>IF(C37="",NA(),IF(OR(C37="Smelter not listed",C37="Smelter not yet identified"),MATCH($B37&amp;$D37,'Smelter Look-up'!$J:$J,0),MATCH($B37&amp;$C37,'Smelter Look-up'!$J:$J,0)))</f>
        <v>#N/A</v>
      </c>
      <c r="X37" s="219">
        <f t="shared" ca="1" si="4"/>
        <v>0</v>
      </c>
      <c r="AB37" s="220" t="str">
        <f t="shared" si="5"/>
        <v/>
      </c>
    </row>
    <row r="38" spans="1:28" s="219" customFormat="1" ht="20.25">
      <c r="A38" s="174"/>
      <c r="B38" s="175" t="str">
        <f>IF(LEN(A38)=0,"",INDEX('Smelter Look-up'!$A:$A,MATCH($A38,'Smelter Look-up'!$E:$E,0)))</f>
        <v/>
      </c>
      <c r="C38" s="179" t="str">
        <f>IF(LEN(A38)=0,"",INDEX('Smelter Look-up'!$C:$C,MATCH($A38,'Smelter Look-up'!$E:$E,0)))</f>
        <v/>
      </c>
      <c r="D38" s="222"/>
      <c r="E38" s="175" t="str">
        <f ca="1">IF(ISERROR($V38),"",OFFSET('Smelter Look-up'!$D$4,$V38-4,0)&amp;"")</f>
        <v/>
      </c>
      <c r="F38" s="175" t="str">
        <f ca="1">IF(ISERROR($V38),"",OFFSET('Smelter Look-up'!$E$4,$V38-4,0))</f>
        <v/>
      </c>
      <c r="G38" s="175" t="str">
        <f ca="1">IF(C38=$X$4,IF(ISERROR($V38),"Enter smelter details","RMI"),IF(ISERROR($V38),"",OFFSET('Smelter Look-up'!$F$4,$V38-4,0)))</f>
        <v/>
      </c>
      <c r="H38" s="176" t="str">
        <f ca="1">IF(ISERROR($V38),"",OFFSET('Smelter Look-up'!$G$4,$V38-4,0))</f>
        <v/>
      </c>
      <c r="I38" s="177" t="str">
        <f ca="1">IF(ISERROR($V38),"",OFFSET('Smelter Look-up'!$H$4,$V38-4,0))</f>
        <v/>
      </c>
      <c r="J38" s="177" t="str">
        <f ca="1">IF(ISERROR($V38),"",OFFSET('Smelter Look-up'!$I$4,$V38-4,0))</f>
        <v/>
      </c>
      <c r="K38" s="216"/>
      <c r="L38" s="216"/>
      <c r="M38" s="216"/>
      <c r="N38" s="216"/>
      <c r="O38" s="216"/>
      <c r="P38" s="178"/>
      <c r="Q38" s="217"/>
      <c r="R38" s="175" t="str">
        <f ca="1">IF(ISERROR($V38),"",OFFSET('Smelter Look-up'!$C$4,$V38-4,0)&amp;"")</f>
        <v/>
      </c>
      <c r="S38" s="174" t="str">
        <f t="shared" ref="S38:S68" ca="1" si="6">IF(B38="","",IF(ISERROR(MATCH($E38,CL,0)),"Unknown",INDIRECT("'C'!$A$"&amp;MATCH($E38,CL,0)+1)))</f>
        <v/>
      </c>
      <c r="T38" s="174" t="str">
        <f ca="1">IF(B38="","",IF(ISERROR(MATCH($J38,SorP!$B$1:$B$6279,0)),"",INDIRECT("'SorP'!$A$"&amp;MATCH($S38&amp;$J38,SorP!C:C,0))))</f>
        <v/>
      </c>
      <c r="U38" s="194"/>
      <c r="V38" s="218" t="e">
        <f>IF(C38="",NA(),IF(OR(C38="Smelter not listed",C38="Smelter not yet identified"),MATCH($B38&amp;$D38,'Smelter Look-up'!$J:$J,0),MATCH($B38&amp;$C38,'Smelter Look-up'!$J:$J,0)))</f>
        <v>#N/A</v>
      </c>
      <c r="X38" s="219">
        <f t="shared" ref="X38:X68" ca="1" si="7">IF(AND(C38="Smelter not listed",OR(LEN(D38)=0,LEN(E38)=0)),1,0)</f>
        <v>0</v>
      </c>
      <c r="AB38" s="220" t="str">
        <f t="shared" ref="AB38:AB68" si="8">B38&amp;C38</f>
        <v/>
      </c>
    </row>
    <row r="39" spans="1:28" s="219" customFormat="1" ht="20.25">
      <c r="A39" s="174"/>
      <c r="B39" s="175" t="str">
        <f>IF(LEN(A39)=0,"",INDEX('Smelter Look-up'!$A:$A,MATCH($A39,'Smelter Look-up'!$E:$E,0)))</f>
        <v/>
      </c>
      <c r="C39" s="179" t="str">
        <f>IF(LEN(A39)=0,"",INDEX('Smelter Look-up'!$C:$C,MATCH($A39,'Smelter Look-up'!$E:$E,0)))</f>
        <v/>
      </c>
      <c r="D39" s="222"/>
      <c r="E39" s="175" t="str">
        <f ca="1">IF(ISERROR($V39),"",OFFSET('Smelter Look-up'!$D$4,$V39-4,0)&amp;"")</f>
        <v/>
      </c>
      <c r="F39" s="175" t="str">
        <f ca="1">IF(ISERROR($V39),"",OFFSET('Smelter Look-up'!$E$4,$V39-4,0))</f>
        <v/>
      </c>
      <c r="G39" s="175" t="str">
        <f ca="1">IF(C39=$X$4,IF(ISERROR($V39),"Enter smelter details","RMI"),IF(ISERROR($V39),"",OFFSET('Smelter Look-up'!$F$4,$V39-4,0)))</f>
        <v/>
      </c>
      <c r="H39" s="176" t="str">
        <f ca="1">IF(ISERROR($V39),"",OFFSET('Smelter Look-up'!$G$4,$V39-4,0))</f>
        <v/>
      </c>
      <c r="I39" s="177" t="str">
        <f ca="1">IF(ISERROR($V39),"",OFFSET('Smelter Look-up'!$H$4,$V39-4,0))</f>
        <v/>
      </c>
      <c r="J39" s="177" t="str">
        <f ca="1">IF(ISERROR($V39),"",OFFSET('Smelter Look-up'!$I$4,$V39-4,0))</f>
        <v/>
      </c>
      <c r="K39" s="216"/>
      <c r="L39" s="216"/>
      <c r="M39" s="216"/>
      <c r="N39" s="216"/>
      <c r="O39" s="216"/>
      <c r="P39" s="178"/>
      <c r="Q39" s="217"/>
      <c r="R39" s="175" t="str">
        <f ca="1">IF(ISERROR($V39),"",OFFSET('Smelter Look-up'!$C$4,$V39-4,0)&amp;"")</f>
        <v/>
      </c>
      <c r="S39" s="174" t="str">
        <f t="shared" ca="1" si="6"/>
        <v/>
      </c>
      <c r="T39" s="174" t="str">
        <f ca="1">IF(B39="","",IF(ISERROR(MATCH($J39,SorP!$B$1:$B$6279,0)),"",INDIRECT("'SorP'!$A$"&amp;MATCH($S39&amp;$J39,SorP!C:C,0))))</f>
        <v/>
      </c>
      <c r="U39" s="194"/>
      <c r="V39" s="218" t="e">
        <f>IF(C39="",NA(),IF(OR(C39="Smelter not listed",C39="Smelter not yet identified"),MATCH($B39&amp;$D39,'Smelter Look-up'!$J:$J,0),MATCH($B39&amp;$C39,'Smelter Look-up'!$J:$J,0)))</f>
        <v>#N/A</v>
      </c>
      <c r="X39" s="219">
        <f t="shared" ca="1" si="7"/>
        <v>0</v>
      </c>
      <c r="AB39" s="220" t="str">
        <f t="shared" si="8"/>
        <v/>
      </c>
    </row>
    <row r="40" spans="1:28" s="219" customFormat="1" ht="20.25">
      <c r="A40" s="174"/>
      <c r="B40" s="175" t="str">
        <f>IF(LEN(A40)=0,"",INDEX('Smelter Look-up'!$A:$A,MATCH($A40,'Smelter Look-up'!$E:$E,0)))</f>
        <v/>
      </c>
      <c r="C40" s="179" t="str">
        <f>IF(LEN(A40)=0,"",INDEX('Smelter Look-up'!$C:$C,MATCH($A40,'Smelter Look-up'!$E:$E,0)))</f>
        <v/>
      </c>
      <c r="D40" s="222"/>
      <c r="E40" s="175" t="str">
        <f ca="1">IF(ISERROR($V40),"",OFFSET('Smelter Look-up'!$D$4,$V40-4,0)&amp;"")</f>
        <v/>
      </c>
      <c r="F40" s="175" t="str">
        <f ca="1">IF(ISERROR($V40),"",OFFSET('Smelter Look-up'!$E$4,$V40-4,0))</f>
        <v/>
      </c>
      <c r="G40" s="175" t="str">
        <f ca="1">IF(C40=$X$4,IF(ISERROR($V40),"Enter smelter details","RMI"),IF(ISERROR($V40),"",OFFSET('Smelter Look-up'!$F$4,$V40-4,0)))</f>
        <v/>
      </c>
      <c r="H40" s="176" t="str">
        <f ca="1">IF(ISERROR($V40),"",OFFSET('Smelter Look-up'!$G$4,$V40-4,0))</f>
        <v/>
      </c>
      <c r="I40" s="177" t="str">
        <f ca="1">IF(ISERROR($V40),"",OFFSET('Smelter Look-up'!$H$4,$V40-4,0))</f>
        <v/>
      </c>
      <c r="J40" s="177" t="str">
        <f ca="1">IF(ISERROR($V40),"",OFFSET('Smelter Look-up'!$I$4,$V40-4,0))</f>
        <v/>
      </c>
      <c r="K40" s="216"/>
      <c r="L40" s="216"/>
      <c r="M40" s="216"/>
      <c r="N40" s="216"/>
      <c r="O40" s="216"/>
      <c r="P40" s="178"/>
      <c r="Q40" s="217"/>
      <c r="R40" s="175" t="str">
        <f ca="1">IF(ISERROR($V40),"",OFFSET('Smelter Look-up'!$C$4,$V40-4,0)&amp;"")</f>
        <v/>
      </c>
      <c r="S40" s="174" t="str">
        <f t="shared" ca="1" si="6"/>
        <v/>
      </c>
      <c r="T40" s="174" t="str">
        <f ca="1">IF(B40="","",IF(ISERROR(MATCH($J40,SorP!$B$1:$B$6279,0)),"",INDIRECT("'SorP'!$A$"&amp;MATCH($S40&amp;$J40,SorP!C:C,0))))</f>
        <v/>
      </c>
      <c r="U40" s="194"/>
      <c r="V40" s="218" t="e">
        <f>IF(C40="",NA(),IF(OR(C40="Smelter not listed",C40="Smelter not yet identified"),MATCH($B40&amp;$D40,'Smelter Look-up'!$J:$J,0),MATCH($B40&amp;$C40,'Smelter Look-up'!$J:$J,0)))</f>
        <v>#N/A</v>
      </c>
      <c r="X40" s="219">
        <f t="shared" ca="1" si="7"/>
        <v>0</v>
      </c>
      <c r="AB40" s="220" t="str">
        <f t="shared" si="8"/>
        <v/>
      </c>
    </row>
    <row r="41" spans="1:28" s="219" customFormat="1" ht="20.25">
      <c r="A41" s="174"/>
      <c r="B41" s="175" t="str">
        <f>IF(LEN(A41)=0,"",INDEX('Smelter Look-up'!$A:$A,MATCH($A41,'Smelter Look-up'!$E:$E,0)))</f>
        <v/>
      </c>
      <c r="C41" s="179" t="str">
        <f>IF(LEN(A41)=0,"",INDEX('Smelter Look-up'!$C:$C,MATCH($A41,'Smelter Look-up'!$E:$E,0)))</f>
        <v/>
      </c>
      <c r="D41" s="222"/>
      <c r="E41" s="175" t="str">
        <f ca="1">IF(ISERROR($V41),"",OFFSET('Smelter Look-up'!$D$4,$V41-4,0)&amp;"")</f>
        <v/>
      </c>
      <c r="F41" s="175" t="str">
        <f ca="1">IF(ISERROR($V41),"",OFFSET('Smelter Look-up'!$E$4,$V41-4,0))</f>
        <v/>
      </c>
      <c r="G41" s="175" t="str">
        <f ca="1">IF(C41=$X$4,IF(ISERROR($V41),"Enter smelter details","RMI"),IF(ISERROR($V41),"",OFFSET('Smelter Look-up'!$F$4,$V41-4,0)))</f>
        <v/>
      </c>
      <c r="H41" s="176" t="str">
        <f ca="1">IF(ISERROR($V41),"",OFFSET('Smelter Look-up'!$G$4,$V41-4,0))</f>
        <v/>
      </c>
      <c r="I41" s="177" t="str">
        <f ca="1">IF(ISERROR($V41),"",OFFSET('Smelter Look-up'!$H$4,$V41-4,0))</f>
        <v/>
      </c>
      <c r="J41" s="177" t="str">
        <f ca="1">IF(ISERROR($V41),"",OFFSET('Smelter Look-up'!$I$4,$V41-4,0))</f>
        <v/>
      </c>
      <c r="K41" s="216"/>
      <c r="L41" s="216"/>
      <c r="M41" s="216"/>
      <c r="N41" s="216"/>
      <c r="O41" s="216"/>
      <c r="P41" s="178"/>
      <c r="Q41" s="217"/>
      <c r="R41" s="175" t="str">
        <f ca="1">IF(ISERROR($V41),"",OFFSET('Smelter Look-up'!$C$4,$V41-4,0)&amp;"")</f>
        <v/>
      </c>
      <c r="S41" s="174" t="str">
        <f t="shared" ca="1" si="6"/>
        <v/>
      </c>
      <c r="T41" s="174" t="str">
        <f ca="1">IF(B41="","",IF(ISERROR(MATCH($J41,SorP!$B$1:$B$6279,0)),"",INDIRECT("'SorP'!$A$"&amp;MATCH($S41&amp;$J41,SorP!C:C,0))))</f>
        <v/>
      </c>
      <c r="U41" s="194"/>
      <c r="V41" s="218" t="e">
        <f>IF(C41="",NA(),IF(OR(C41="Smelter not listed",C41="Smelter not yet identified"),MATCH($B41&amp;$D41,'Smelter Look-up'!$J:$J,0),MATCH($B41&amp;$C41,'Smelter Look-up'!$J:$J,0)))</f>
        <v>#N/A</v>
      </c>
      <c r="X41" s="219">
        <f t="shared" ca="1" si="7"/>
        <v>0</v>
      </c>
      <c r="AB41" s="220" t="str">
        <f t="shared" si="8"/>
        <v/>
      </c>
    </row>
    <row r="42" spans="1:28" s="219" customFormat="1" ht="20.25">
      <c r="A42" s="174"/>
      <c r="B42" s="175" t="str">
        <f>IF(LEN(A42)=0,"",INDEX('Smelter Look-up'!$A:$A,MATCH($A42,'Smelter Look-up'!$E:$E,0)))</f>
        <v/>
      </c>
      <c r="C42" s="179" t="str">
        <f>IF(LEN(A42)=0,"",INDEX('Smelter Look-up'!$C:$C,MATCH($A42,'Smelter Look-up'!$E:$E,0)))</f>
        <v/>
      </c>
      <c r="D42" s="222"/>
      <c r="E42" s="175" t="str">
        <f ca="1">IF(ISERROR($V42),"",OFFSET('Smelter Look-up'!$D$4,$V42-4,0)&amp;"")</f>
        <v/>
      </c>
      <c r="F42" s="175" t="str">
        <f ca="1">IF(ISERROR($V42),"",OFFSET('Smelter Look-up'!$E$4,$V42-4,0))</f>
        <v/>
      </c>
      <c r="G42" s="175" t="str">
        <f ca="1">IF(C42=$X$4,IF(ISERROR($V42),"Enter smelter details","RMI"),IF(ISERROR($V42),"",OFFSET('Smelter Look-up'!$F$4,$V42-4,0)))</f>
        <v/>
      </c>
      <c r="H42" s="176" t="str">
        <f ca="1">IF(ISERROR($V42),"",OFFSET('Smelter Look-up'!$G$4,$V42-4,0))</f>
        <v/>
      </c>
      <c r="I42" s="177" t="str">
        <f ca="1">IF(ISERROR($V42),"",OFFSET('Smelter Look-up'!$H$4,$V42-4,0))</f>
        <v/>
      </c>
      <c r="J42" s="177" t="str">
        <f ca="1">IF(ISERROR($V42),"",OFFSET('Smelter Look-up'!$I$4,$V42-4,0))</f>
        <v/>
      </c>
      <c r="K42" s="216"/>
      <c r="L42" s="216"/>
      <c r="M42" s="216"/>
      <c r="N42" s="216"/>
      <c r="O42" s="216"/>
      <c r="P42" s="178"/>
      <c r="Q42" s="217"/>
      <c r="R42" s="175" t="str">
        <f ca="1">IF(ISERROR($V42),"",OFFSET('Smelter Look-up'!$C$4,$V42-4,0)&amp;"")</f>
        <v/>
      </c>
      <c r="S42" s="174" t="str">
        <f t="shared" ca="1" si="6"/>
        <v/>
      </c>
      <c r="T42" s="174" t="str">
        <f ca="1">IF(B42="","",IF(ISERROR(MATCH($J42,SorP!$B$1:$B$6279,0)),"",INDIRECT("'SorP'!$A$"&amp;MATCH($S42&amp;$J42,SorP!C:C,0))))</f>
        <v/>
      </c>
      <c r="U42" s="194"/>
      <c r="V42" s="218" t="e">
        <f>IF(C42="",NA(),IF(OR(C42="Smelter not listed",C42="Smelter not yet identified"),MATCH($B42&amp;$D42,'Smelter Look-up'!$J:$J,0),MATCH($B42&amp;$C42,'Smelter Look-up'!$J:$J,0)))</f>
        <v>#N/A</v>
      </c>
      <c r="X42" s="219">
        <f t="shared" ca="1" si="7"/>
        <v>0</v>
      </c>
      <c r="AB42" s="220" t="str">
        <f t="shared" si="8"/>
        <v/>
      </c>
    </row>
    <row r="43" spans="1:28" s="219" customFormat="1" ht="20.25">
      <c r="A43" s="174"/>
      <c r="B43" s="175" t="str">
        <f>IF(LEN(A43)=0,"",INDEX('Smelter Look-up'!$A:$A,MATCH($A43,'Smelter Look-up'!$E:$E,0)))</f>
        <v/>
      </c>
      <c r="C43" s="179" t="str">
        <f>IF(LEN(A43)=0,"",INDEX('Smelter Look-up'!$C:$C,MATCH($A43,'Smelter Look-up'!$E:$E,0)))</f>
        <v/>
      </c>
      <c r="D43" s="222"/>
      <c r="E43" s="175" t="str">
        <f ca="1">IF(ISERROR($V43),"",OFFSET('Smelter Look-up'!$D$4,$V43-4,0)&amp;"")</f>
        <v/>
      </c>
      <c r="F43" s="175" t="str">
        <f ca="1">IF(ISERROR($V43),"",OFFSET('Smelter Look-up'!$E$4,$V43-4,0))</f>
        <v/>
      </c>
      <c r="G43" s="175" t="str">
        <f ca="1">IF(C43=$X$4,IF(ISERROR($V43),"Enter smelter details","RMI"),IF(ISERROR($V43),"",OFFSET('Smelter Look-up'!$F$4,$V43-4,0)))</f>
        <v/>
      </c>
      <c r="H43" s="176" t="str">
        <f ca="1">IF(ISERROR($V43),"",OFFSET('Smelter Look-up'!$G$4,$V43-4,0))</f>
        <v/>
      </c>
      <c r="I43" s="177" t="str">
        <f ca="1">IF(ISERROR($V43),"",OFFSET('Smelter Look-up'!$H$4,$V43-4,0))</f>
        <v/>
      </c>
      <c r="J43" s="177" t="str">
        <f ca="1">IF(ISERROR($V43),"",OFFSET('Smelter Look-up'!$I$4,$V43-4,0))</f>
        <v/>
      </c>
      <c r="K43" s="216"/>
      <c r="L43" s="216"/>
      <c r="M43" s="216"/>
      <c r="N43" s="216"/>
      <c r="O43" s="216"/>
      <c r="P43" s="178"/>
      <c r="Q43" s="217"/>
      <c r="R43" s="175" t="str">
        <f ca="1">IF(ISERROR($V43),"",OFFSET('Smelter Look-up'!$C$4,$V43-4,0)&amp;"")</f>
        <v/>
      </c>
      <c r="S43" s="174" t="str">
        <f t="shared" ca="1" si="6"/>
        <v/>
      </c>
      <c r="T43" s="174" t="str">
        <f ca="1">IF(B43="","",IF(ISERROR(MATCH($J43,SorP!$B$1:$B$6279,0)),"",INDIRECT("'SorP'!$A$"&amp;MATCH($S43&amp;$J43,SorP!C:C,0))))</f>
        <v/>
      </c>
      <c r="U43" s="194"/>
      <c r="V43" s="218" t="e">
        <f>IF(C43="",NA(),IF(OR(C43="Smelter not listed",C43="Smelter not yet identified"),MATCH($B43&amp;$D43,'Smelter Look-up'!$J:$J,0),MATCH($B43&amp;$C43,'Smelter Look-up'!$J:$J,0)))</f>
        <v>#N/A</v>
      </c>
      <c r="X43" s="219">
        <f t="shared" ca="1" si="7"/>
        <v>0</v>
      </c>
      <c r="AB43" s="220" t="str">
        <f t="shared" si="8"/>
        <v/>
      </c>
    </row>
    <row r="44" spans="1:28" s="219" customFormat="1" ht="20.25">
      <c r="A44" s="174"/>
      <c r="B44" s="175" t="str">
        <f>IF(LEN(A44)=0,"",INDEX('Smelter Look-up'!$A:$A,MATCH($A44,'Smelter Look-up'!$E:$E,0)))</f>
        <v/>
      </c>
      <c r="C44" s="179" t="str">
        <f>IF(LEN(A44)=0,"",INDEX('Smelter Look-up'!$C:$C,MATCH($A44,'Smelter Look-up'!$E:$E,0)))</f>
        <v/>
      </c>
      <c r="D44" s="222"/>
      <c r="E44" s="175" t="str">
        <f ca="1">IF(ISERROR($V44),"",OFFSET('Smelter Look-up'!$D$4,$V44-4,0)&amp;"")</f>
        <v/>
      </c>
      <c r="F44" s="175" t="str">
        <f ca="1">IF(ISERROR($V44),"",OFFSET('Smelter Look-up'!$E$4,$V44-4,0))</f>
        <v/>
      </c>
      <c r="G44" s="175" t="str">
        <f ca="1">IF(C44=$X$4,IF(ISERROR($V44),"Enter smelter details","RMI"),IF(ISERROR($V44),"",OFFSET('Smelter Look-up'!$F$4,$V44-4,0)))</f>
        <v/>
      </c>
      <c r="H44" s="176" t="str">
        <f ca="1">IF(ISERROR($V44),"",OFFSET('Smelter Look-up'!$G$4,$V44-4,0))</f>
        <v/>
      </c>
      <c r="I44" s="177" t="str">
        <f ca="1">IF(ISERROR($V44),"",OFFSET('Smelter Look-up'!$H$4,$V44-4,0))</f>
        <v/>
      </c>
      <c r="J44" s="177" t="str">
        <f ca="1">IF(ISERROR($V44),"",OFFSET('Smelter Look-up'!$I$4,$V44-4,0))</f>
        <v/>
      </c>
      <c r="K44" s="216"/>
      <c r="L44" s="216"/>
      <c r="M44" s="216"/>
      <c r="N44" s="216"/>
      <c r="O44" s="216"/>
      <c r="P44" s="178"/>
      <c r="Q44" s="217"/>
      <c r="R44" s="175" t="str">
        <f ca="1">IF(ISERROR($V44),"",OFFSET('Smelter Look-up'!$C$4,$V44-4,0)&amp;"")</f>
        <v/>
      </c>
      <c r="S44" s="174" t="str">
        <f t="shared" ca="1" si="6"/>
        <v/>
      </c>
      <c r="T44" s="174" t="str">
        <f ca="1">IF(B44="","",IF(ISERROR(MATCH($J44,SorP!$B$1:$B$6279,0)),"",INDIRECT("'SorP'!$A$"&amp;MATCH($S44&amp;$J44,SorP!C:C,0))))</f>
        <v/>
      </c>
      <c r="U44" s="194"/>
      <c r="V44" s="218" t="e">
        <f>IF(C44="",NA(),IF(OR(C44="Smelter not listed",C44="Smelter not yet identified"),MATCH($B44&amp;$D44,'Smelter Look-up'!$J:$J,0),MATCH($B44&amp;$C44,'Smelter Look-up'!$J:$J,0)))</f>
        <v>#N/A</v>
      </c>
      <c r="X44" s="219">
        <f t="shared" ca="1" si="7"/>
        <v>0</v>
      </c>
      <c r="AB44" s="220" t="str">
        <f t="shared" si="8"/>
        <v/>
      </c>
    </row>
    <row r="45" spans="1:28" s="219" customFormat="1" ht="20.25">
      <c r="A45" s="174"/>
      <c r="B45" s="175" t="str">
        <f>IF(LEN(A45)=0,"",INDEX('Smelter Look-up'!$A:$A,MATCH($A45,'Smelter Look-up'!$E:$E,0)))</f>
        <v/>
      </c>
      <c r="C45" s="179" t="str">
        <f>IF(LEN(A45)=0,"",INDEX('Smelter Look-up'!$C:$C,MATCH($A45,'Smelter Look-up'!$E:$E,0)))</f>
        <v/>
      </c>
      <c r="D45" s="222"/>
      <c r="E45" s="175" t="str">
        <f ca="1">IF(ISERROR($V45),"",OFFSET('Smelter Look-up'!$D$4,$V45-4,0)&amp;"")</f>
        <v/>
      </c>
      <c r="F45" s="175" t="str">
        <f ca="1">IF(ISERROR($V45),"",OFFSET('Smelter Look-up'!$E$4,$V45-4,0))</f>
        <v/>
      </c>
      <c r="G45" s="175" t="str">
        <f ca="1">IF(C45=$X$4,IF(ISERROR($V45),"Enter smelter details","RMI"),IF(ISERROR($V45),"",OFFSET('Smelter Look-up'!$F$4,$V45-4,0)))</f>
        <v/>
      </c>
      <c r="H45" s="176" t="str">
        <f ca="1">IF(ISERROR($V45),"",OFFSET('Smelter Look-up'!$G$4,$V45-4,0))</f>
        <v/>
      </c>
      <c r="I45" s="177" t="str">
        <f ca="1">IF(ISERROR($V45),"",OFFSET('Smelter Look-up'!$H$4,$V45-4,0))</f>
        <v/>
      </c>
      <c r="J45" s="177" t="str">
        <f ca="1">IF(ISERROR($V45),"",OFFSET('Smelter Look-up'!$I$4,$V45-4,0))</f>
        <v/>
      </c>
      <c r="K45" s="216"/>
      <c r="L45" s="216"/>
      <c r="M45" s="216"/>
      <c r="N45" s="216"/>
      <c r="O45" s="216"/>
      <c r="P45" s="178"/>
      <c r="Q45" s="217"/>
      <c r="R45" s="175" t="str">
        <f ca="1">IF(ISERROR($V45),"",OFFSET('Smelter Look-up'!$C$4,$V45-4,0)&amp;"")</f>
        <v/>
      </c>
      <c r="S45" s="174" t="str">
        <f t="shared" ca="1" si="6"/>
        <v/>
      </c>
      <c r="T45" s="174" t="str">
        <f ca="1">IF(B45="","",IF(ISERROR(MATCH($J45,SorP!$B$1:$B$6279,0)),"",INDIRECT("'SorP'!$A$"&amp;MATCH($S45&amp;$J45,SorP!C:C,0))))</f>
        <v/>
      </c>
      <c r="U45" s="194"/>
      <c r="V45" s="218" t="e">
        <f>IF(C45="",NA(),IF(OR(C45="Smelter not listed",C45="Smelter not yet identified"),MATCH($B45&amp;$D45,'Smelter Look-up'!$J:$J,0),MATCH($B45&amp;$C45,'Smelter Look-up'!$J:$J,0)))</f>
        <v>#N/A</v>
      </c>
      <c r="X45" s="219">
        <f t="shared" ca="1" si="7"/>
        <v>0</v>
      </c>
      <c r="AB45" s="220" t="str">
        <f t="shared" si="8"/>
        <v/>
      </c>
    </row>
    <row r="46" spans="1:28" s="219" customFormat="1" ht="20.25">
      <c r="A46" s="174"/>
      <c r="B46" s="175" t="str">
        <f>IF(LEN(A46)=0,"",INDEX('Smelter Look-up'!$A:$A,MATCH($A46,'Smelter Look-up'!$E:$E,0)))</f>
        <v/>
      </c>
      <c r="C46" s="179" t="str">
        <f>IF(LEN(A46)=0,"",INDEX('Smelter Look-up'!$C:$C,MATCH($A46,'Smelter Look-up'!$E:$E,0)))</f>
        <v/>
      </c>
      <c r="D46" s="222"/>
      <c r="E46" s="175" t="str">
        <f ca="1">IF(ISERROR($V46),"",OFFSET('Smelter Look-up'!$D$4,$V46-4,0)&amp;"")</f>
        <v/>
      </c>
      <c r="F46" s="175" t="str">
        <f ca="1">IF(ISERROR($V46),"",OFFSET('Smelter Look-up'!$E$4,$V46-4,0))</f>
        <v/>
      </c>
      <c r="G46" s="175" t="str">
        <f ca="1">IF(C46=$X$4,IF(ISERROR($V46),"Enter smelter details","RMI"),IF(ISERROR($V46),"",OFFSET('Smelter Look-up'!$F$4,$V46-4,0)))</f>
        <v/>
      </c>
      <c r="H46" s="176" t="str">
        <f ca="1">IF(ISERROR($V46),"",OFFSET('Smelter Look-up'!$G$4,$V46-4,0))</f>
        <v/>
      </c>
      <c r="I46" s="177" t="str">
        <f ca="1">IF(ISERROR($V46),"",OFFSET('Smelter Look-up'!$H$4,$V46-4,0))</f>
        <v/>
      </c>
      <c r="J46" s="177" t="str">
        <f ca="1">IF(ISERROR($V46),"",OFFSET('Smelter Look-up'!$I$4,$V46-4,0))</f>
        <v/>
      </c>
      <c r="K46" s="216"/>
      <c r="L46" s="216"/>
      <c r="M46" s="216"/>
      <c r="N46" s="216"/>
      <c r="O46" s="216"/>
      <c r="P46" s="178"/>
      <c r="Q46" s="217"/>
      <c r="R46" s="175" t="str">
        <f ca="1">IF(ISERROR($V46),"",OFFSET('Smelter Look-up'!$C$4,$V46-4,0)&amp;"")</f>
        <v/>
      </c>
      <c r="S46" s="174" t="str">
        <f t="shared" ca="1" si="6"/>
        <v/>
      </c>
      <c r="T46" s="174" t="str">
        <f ca="1">IF(B46="","",IF(ISERROR(MATCH($J46,SorP!$B$1:$B$6279,0)),"",INDIRECT("'SorP'!$A$"&amp;MATCH($S46&amp;$J46,SorP!C:C,0))))</f>
        <v/>
      </c>
      <c r="U46" s="194"/>
      <c r="V46" s="218" t="e">
        <f>IF(C46="",NA(),IF(OR(C46="Smelter not listed",C46="Smelter not yet identified"),MATCH($B46&amp;$D46,'Smelter Look-up'!$J:$J,0),MATCH($B46&amp;$C46,'Smelter Look-up'!$J:$J,0)))</f>
        <v>#N/A</v>
      </c>
      <c r="X46" s="219">
        <f t="shared" ca="1" si="7"/>
        <v>0</v>
      </c>
      <c r="AB46" s="220" t="str">
        <f t="shared" si="8"/>
        <v/>
      </c>
    </row>
    <row r="47" spans="1:28" s="219" customFormat="1" ht="20.25">
      <c r="A47" s="174"/>
      <c r="B47" s="175" t="str">
        <f>IF(LEN(A47)=0,"",INDEX('Smelter Look-up'!$A:$A,MATCH($A47,'Smelter Look-up'!$E:$E,0)))</f>
        <v/>
      </c>
      <c r="C47" s="179" t="str">
        <f>IF(LEN(A47)=0,"",INDEX('Smelter Look-up'!$C:$C,MATCH($A47,'Smelter Look-up'!$E:$E,0)))</f>
        <v/>
      </c>
      <c r="D47" s="222"/>
      <c r="E47" s="175" t="str">
        <f ca="1">IF(ISERROR($V47),"",OFFSET('Smelter Look-up'!$D$4,$V47-4,0)&amp;"")</f>
        <v/>
      </c>
      <c r="F47" s="175" t="str">
        <f ca="1">IF(ISERROR($V47),"",OFFSET('Smelter Look-up'!$E$4,$V47-4,0))</f>
        <v/>
      </c>
      <c r="G47" s="175" t="str">
        <f ca="1">IF(C47=$X$4,IF(ISERROR($V47),"Enter smelter details","RMI"),IF(ISERROR($V47),"",OFFSET('Smelter Look-up'!$F$4,$V47-4,0)))</f>
        <v/>
      </c>
      <c r="H47" s="176" t="str">
        <f ca="1">IF(ISERROR($V47),"",OFFSET('Smelter Look-up'!$G$4,$V47-4,0))</f>
        <v/>
      </c>
      <c r="I47" s="177" t="str">
        <f ca="1">IF(ISERROR($V47),"",OFFSET('Smelter Look-up'!$H$4,$V47-4,0))</f>
        <v/>
      </c>
      <c r="J47" s="177" t="str">
        <f ca="1">IF(ISERROR($V47),"",OFFSET('Smelter Look-up'!$I$4,$V47-4,0))</f>
        <v/>
      </c>
      <c r="K47" s="216"/>
      <c r="L47" s="216"/>
      <c r="M47" s="216"/>
      <c r="N47" s="216"/>
      <c r="O47" s="216"/>
      <c r="P47" s="178"/>
      <c r="Q47" s="217"/>
      <c r="R47" s="175" t="str">
        <f ca="1">IF(ISERROR($V47),"",OFFSET('Smelter Look-up'!$C$4,$V47-4,0)&amp;"")</f>
        <v/>
      </c>
      <c r="S47" s="174" t="str">
        <f t="shared" ca="1" si="6"/>
        <v/>
      </c>
      <c r="T47" s="174" t="str">
        <f ca="1">IF(B47="","",IF(ISERROR(MATCH($J47,SorP!$B$1:$B$6279,0)),"",INDIRECT("'SorP'!$A$"&amp;MATCH($S47&amp;$J47,SorP!C:C,0))))</f>
        <v/>
      </c>
      <c r="U47" s="194"/>
      <c r="V47" s="218" t="e">
        <f>IF(C47="",NA(),IF(OR(C47="Smelter not listed",C47="Smelter not yet identified"),MATCH($B47&amp;$D47,'Smelter Look-up'!$J:$J,0),MATCH($B47&amp;$C47,'Smelter Look-up'!$J:$J,0)))</f>
        <v>#N/A</v>
      </c>
      <c r="X47" s="219">
        <f t="shared" ca="1" si="7"/>
        <v>0</v>
      </c>
      <c r="AB47" s="220" t="str">
        <f t="shared" si="8"/>
        <v/>
      </c>
    </row>
    <row r="48" spans="1:28" s="219" customFormat="1" ht="20.25">
      <c r="A48" s="174"/>
      <c r="B48" s="175" t="str">
        <f>IF(LEN(A48)=0,"",INDEX('Smelter Look-up'!$A:$A,MATCH($A48,'Smelter Look-up'!$E:$E,0)))</f>
        <v/>
      </c>
      <c r="C48" s="179" t="str">
        <f>IF(LEN(A48)=0,"",INDEX('Smelter Look-up'!$C:$C,MATCH($A48,'Smelter Look-up'!$E:$E,0)))</f>
        <v/>
      </c>
      <c r="D48" s="222"/>
      <c r="E48" s="175" t="str">
        <f ca="1">IF(ISERROR($V48),"",OFFSET('Smelter Look-up'!$D$4,$V48-4,0)&amp;"")</f>
        <v/>
      </c>
      <c r="F48" s="175" t="str">
        <f ca="1">IF(ISERROR($V48),"",OFFSET('Smelter Look-up'!$E$4,$V48-4,0))</f>
        <v/>
      </c>
      <c r="G48" s="175" t="str">
        <f ca="1">IF(C48=$X$4,IF(ISERROR($V48),"Enter smelter details","RMI"),IF(ISERROR($V48),"",OFFSET('Smelter Look-up'!$F$4,$V48-4,0)))</f>
        <v/>
      </c>
      <c r="H48" s="176" t="str">
        <f ca="1">IF(ISERROR($V48),"",OFFSET('Smelter Look-up'!$G$4,$V48-4,0))</f>
        <v/>
      </c>
      <c r="I48" s="177" t="str">
        <f ca="1">IF(ISERROR($V48),"",OFFSET('Smelter Look-up'!$H$4,$V48-4,0))</f>
        <v/>
      </c>
      <c r="J48" s="177" t="str">
        <f ca="1">IF(ISERROR($V48),"",OFFSET('Smelter Look-up'!$I$4,$V48-4,0))</f>
        <v/>
      </c>
      <c r="K48" s="216"/>
      <c r="L48" s="216"/>
      <c r="M48" s="216"/>
      <c r="N48" s="216"/>
      <c r="O48" s="216"/>
      <c r="P48" s="178"/>
      <c r="Q48" s="217"/>
      <c r="R48" s="175" t="str">
        <f ca="1">IF(ISERROR($V48),"",OFFSET('Smelter Look-up'!$C$4,$V48-4,0)&amp;"")</f>
        <v/>
      </c>
      <c r="S48" s="174" t="str">
        <f t="shared" ca="1" si="6"/>
        <v/>
      </c>
      <c r="T48" s="174" t="str">
        <f ca="1">IF(B48="","",IF(ISERROR(MATCH($J48,SorP!$B$1:$B$6279,0)),"",INDIRECT("'SorP'!$A$"&amp;MATCH($S48&amp;$J48,SorP!C:C,0))))</f>
        <v/>
      </c>
      <c r="U48" s="194"/>
      <c r="V48" s="218" t="e">
        <f>IF(C48="",NA(),IF(OR(C48="Smelter not listed",C48="Smelter not yet identified"),MATCH($B48&amp;$D48,'Smelter Look-up'!$J:$J,0),MATCH($B48&amp;$C48,'Smelter Look-up'!$J:$J,0)))</f>
        <v>#N/A</v>
      </c>
      <c r="X48" s="219">
        <f t="shared" ca="1" si="7"/>
        <v>0</v>
      </c>
      <c r="AB48" s="220" t="str">
        <f t="shared" si="8"/>
        <v/>
      </c>
    </row>
    <row r="49" spans="1:28" s="219" customFormat="1" ht="20.25">
      <c r="A49" s="174"/>
      <c r="B49" s="175" t="str">
        <f>IF(LEN(A49)=0,"",INDEX('Smelter Look-up'!$A:$A,MATCH($A49,'Smelter Look-up'!$E:$E,0)))</f>
        <v/>
      </c>
      <c r="C49" s="179" t="str">
        <f>IF(LEN(A49)=0,"",INDEX('Smelter Look-up'!$C:$C,MATCH($A49,'Smelter Look-up'!$E:$E,0)))</f>
        <v/>
      </c>
      <c r="D49" s="222"/>
      <c r="E49" s="175" t="str">
        <f ca="1">IF(ISERROR($V49),"",OFFSET('Smelter Look-up'!$D$4,$V49-4,0)&amp;"")</f>
        <v/>
      </c>
      <c r="F49" s="175" t="str">
        <f ca="1">IF(ISERROR($V49),"",OFFSET('Smelter Look-up'!$E$4,$V49-4,0))</f>
        <v/>
      </c>
      <c r="G49" s="175" t="str">
        <f ca="1">IF(C49=$X$4,IF(ISERROR($V49),"Enter smelter details","RMI"),IF(ISERROR($V49),"",OFFSET('Smelter Look-up'!$F$4,$V49-4,0)))</f>
        <v/>
      </c>
      <c r="H49" s="176" t="str">
        <f ca="1">IF(ISERROR($V49),"",OFFSET('Smelter Look-up'!$G$4,$V49-4,0))</f>
        <v/>
      </c>
      <c r="I49" s="177" t="str">
        <f ca="1">IF(ISERROR($V49),"",OFFSET('Smelter Look-up'!$H$4,$V49-4,0))</f>
        <v/>
      </c>
      <c r="J49" s="177" t="str">
        <f ca="1">IF(ISERROR($V49),"",OFFSET('Smelter Look-up'!$I$4,$V49-4,0))</f>
        <v/>
      </c>
      <c r="K49" s="216"/>
      <c r="L49" s="216"/>
      <c r="M49" s="216"/>
      <c r="N49" s="216"/>
      <c r="O49" s="216"/>
      <c r="P49" s="178"/>
      <c r="Q49" s="217"/>
      <c r="R49" s="175" t="str">
        <f ca="1">IF(ISERROR($V49),"",OFFSET('Smelter Look-up'!$C$4,$V49-4,0)&amp;"")</f>
        <v/>
      </c>
      <c r="S49" s="174" t="str">
        <f t="shared" ca="1" si="6"/>
        <v/>
      </c>
      <c r="T49" s="174" t="str">
        <f ca="1">IF(B49="","",IF(ISERROR(MATCH($J49,SorP!$B$1:$B$6279,0)),"",INDIRECT("'SorP'!$A$"&amp;MATCH($S49&amp;$J49,SorP!C:C,0))))</f>
        <v/>
      </c>
      <c r="U49" s="194"/>
      <c r="V49" s="218" t="e">
        <f>IF(C49="",NA(),IF(OR(C49="Smelter not listed",C49="Smelter not yet identified"),MATCH($B49&amp;$D49,'Smelter Look-up'!$J:$J,0),MATCH($B49&amp;$C49,'Smelter Look-up'!$J:$J,0)))</f>
        <v>#N/A</v>
      </c>
      <c r="X49" s="219">
        <f t="shared" ca="1" si="7"/>
        <v>0</v>
      </c>
      <c r="AB49" s="220" t="str">
        <f t="shared" si="8"/>
        <v/>
      </c>
    </row>
    <row r="50" spans="1:28" s="219" customFormat="1" ht="20.25">
      <c r="A50" s="174"/>
      <c r="B50" s="175" t="str">
        <f>IF(LEN(A50)=0,"",INDEX('Smelter Look-up'!$A:$A,MATCH($A50,'Smelter Look-up'!$E:$E,0)))</f>
        <v/>
      </c>
      <c r="C50" s="179" t="str">
        <f>IF(LEN(A50)=0,"",INDEX('Smelter Look-up'!$C:$C,MATCH($A50,'Smelter Look-up'!$E:$E,0)))</f>
        <v/>
      </c>
      <c r="D50" s="222"/>
      <c r="E50" s="175" t="str">
        <f ca="1">IF(ISERROR($V50),"",OFFSET('Smelter Look-up'!$D$4,$V50-4,0)&amp;"")</f>
        <v/>
      </c>
      <c r="F50" s="175" t="str">
        <f ca="1">IF(ISERROR($V50),"",OFFSET('Smelter Look-up'!$E$4,$V50-4,0))</f>
        <v/>
      </c>
      <c r="G50" s="175" t="str">
        <f ca="1">IF(C50=$X$4,IF(ISERROR($V50),"Enter smelter details","RMI"),IF(ISERROR($V50),"",OFFSET('Smelter Look-up'!$F$4,$V50-4,0)))</f>
        <v/>
      </c>
      <c r="H50" s="176" t="str">
        <f ca="1">IF(ISERROR($V50),"",OFFSET('Smelter Look-up'!$G$4,$V50-4,0))</f>
        <v/>
      </c>
      <c r="I50" s="177" t="str">
        <f ca="1">IF(ISERROR($V50),"",OFFSET('Smelter Look-up'!$H$4,$V50-4,0))</f>
        <v/>
      </c>
      <c r="J50" s="177" t="str">
        <f ca="1">IF(ISERROR($V50),"",OFFSET('Smelter Look-up'!$I$4,$V50-4,0))</f>
        <v/>
      </c>
      <c r="K50" s="216"/>
      <c r="L50" s="216"/>
      <c r="M50" s="216"/>
      <c r="N50" s="216"/>
      <c r="O50" s="216"/>
      <c r="P50" s="178"/>
      <c r="Q50" s="217"/>
      <c r="R50" s="175" t="str">
        <f ca="1">IF(ISERROR($V50),"",OFFSET('Smelter Look-up'!$C$4,$V50-4,0)&amp;"")</f>
        <v/>
      </c>
      <c r="S50" s="174" t="str">
        <f t="shared" ca="1" si="6"/>
        <v/>
      </c>
      <c r="T50" s="174" t="str">
        <f ca="1">IF(B50="","",IF(ISERROR(MATCH($J50,SorP!$B$1:$B$6279,0)),"",INDIRECT("'SorP'!$A$"&amp;MATCH($S50&amp;$J50,SorP!C:C,0))))</f>
        <v/>
      </c>
      <c r="U50" s="194"/>
      <c r="V50" s="218" t="e">
        <f>IF(C50="",NA(),IF(OR(C50="Smelter not listed",C50="Smelter not yet identified"),MATCH($B50&amp;$D50,'Smelter Look-up'!$J:$J,0),MATCH($B50&amp;$C50,'Smelter Look-up'!$J:$J,0)))</f>
        <v>#N/A</v>
      </c>
      <c r="X50" s="219">
        <f t="shared" ca="1" si="7"/>
        <v>0</v>
      </c>
      <c r="AB50" s="220" t="str">
        <f t="shared" si="8"/>
        <v/>
      </c>
    </row>
    <row r="51" spans="1:28" s="219" customFormat="1" ht="20.25">
      <c r="A51" s="174"/>
      <c r="B51" s="175" t="str">
        <f>IF(LEN(A51)=0,"",INDEX('Smelter Look-up'!$A:$A,MATCH($A51,'Smelter Look-up'!$E:$E,0)))</f>
        <v/>
      </c>
      <c r="C51" s="179" t="str">
        <f>IF(LEN(A51)=0,"",INDEX('Smelter Look-up'!$C:$C,MATCH($A51,'Smelter Look-up'!$E:$E,0)))</f>
        <v/>
      </c>
      <c r="D51" s="222"/>
      <c r="E51" s="175" t="str">
        <f ca="1">IF(ISERROR($V51),"",OFFSET('Smelter Look-up'!$D$4,$V51-4,0)&amp;"")</f>
        <v/>
      </c>
      <c r="F51" s="175" t="str">
        <f ca="1">IF(ISERROR($V51),"",OFFSET('Smelter Look-up'!$E$4,$V51-4,0))</f>
        <v/>
      </c>
      <c r="G51" s="175" t="str">
        <f ca="1">IF(C51=$X$4,IF(ISERROR($V51),"Enter smelter details","RMI"),IF(ISERROR($V51),"",OFFSET('Smelter Look-up'!$F$4,$V51-4,0)))</f>
        <v/>
      </c>
      <c r="H51" s="176" t="str">
        <f ca="1">IF(ISERROR($V51),"",OFFSET('Smelter Look-up'!$G$4,$V51-4,0))</f>
        <v/>
      </c>
      <c r="I51" s="177" t="str">
        <f ca="1">IF(ISERROR($V51),"",OFFSET('Smelter Look-up'!$H$4,$V51-4,0))</f>
        <v/>
      </c>
      <c r="J51" s="177" t="str">
        <f ca="1">IF(ISERROR($V51),"",OFFSET('Smelter Look-up'!$I$4,$V51-4,0))</f>
        <v/>
      </c>
      <c r="K51" s="216"/>
      <c r="L51" s="216"/>
      <c r="M51" s="216"/>
      <c r="N51" s="216"/>
      <c r="O51" s="216"/>
      <c r="P51" s="178"/>
      <c r="Q51" s="217"/>
      <c r="R51" s="175" t="str">
        <f ca="1">IF(ISERROR($V51),"",OFFSET('Smelter Look-up'!$C$4,$V51-4,0)&amp;"")</f>
        <v/>
      </c>
      <c r="S51" s="174" t="str">
        <f t="shared" ca="1" si="6"/>
        <v/>
      </c>
      <c r="T51" s="174" t="str">
        <f ca="1">IF(B51="","",IF(ISERROR(MATCH($J51,SorP!$B$1:$B$6279,0)),"",INDIRECT("'SorP'!$A$"&amp;MATCH($S51&amp;$J51,SorP!C:C,0))))</f>
        <v/>
      </c>
      <c r="U51" s="194"/>
      <c r="V51" s="218" t="e">
        <f>IF(C51="",NA(),IF(OR(C51="Smelter not listed",C51="Smelter not yet identified"),MATCH($B51&amp;$D51,'Smelter Look-up'!$J:$J,0),MATCH($B51&amp;$C51,'Smelter Look-up'!$J:$J,0)))</f>
        <v>#N/A</v>
      </c>
      <c r="X51" s="219">
        <f t="shared" ca="1" si="7"/>
        <v>0</v>
      </c>
      <c r="AB51" s="220" t="str">
        <f t="shared" si="8"/>
        <v/>
      </c>
    </row>
    <row r="52" spans="1:28" s="219" customFormat="1" ht="20.25">
      <c r="A52" s="174"/>
      <c r="B52" s="175" t="str">
        <f>IF(LEN(A52)=0,"",INDEX('Smelter Look-up'!$A:$A,MATCH($A52,'Smelter Look-up'!$E:$E,0)))</f>
        <v/>
      </c>
      <c r="C52" s="179" t="str">
        <f>IF(LEN(A52)=0,"",INDEX('Smelter Look-up'!$C:$C,MATCH($A52,'Smelter Look-up'!$E:$E,0)))</f>
        <v/>
      </c>
      <c r="D52" s="222"/>
      <c r="E52" s="175" t="str">
        <f ca="1">IF(ISERROR($V52),"",OFFSET('Smelter Look-up'!$D$4,$V52-4,0)&amp;"")</f>
        <v/>
      </c>
      <c r="F52" s="175" t="str">
        <f ca="1">IF(ISERROR($V52),"",OFFSET('Smelter Look-up'!$E$4,$V52-4,0))</f>
        <v/>
      </c>
      <c r="G52" s="175" t="str">
        <f ca="1">IF(C52=$X$4,IF(ISERROR($V52),"Enter smelter details","RMI"),IF(ISERROR($V52),"",OFFSET('Smelter Look-up'!$F$4,$V52-4,0)))</f>
        <v/>
      </c>
      <c r="H52" s="176" t="str">
        <f ca="1">IF(ISERROR($V52),"",OFFSET('Smelter Look-up'!$G$4,$V52-4,0))</f>
        <v/>
      </c>
      <c r="I52" s="177" t="str">
        <f ca="1">IF(ISERROR($V52),"",OFFSET('Smelter Look-up'!$H$4,$V52-4,0))</f>
        <v/>
      </c>
      <c r="J52" s="177" t="str">
        <f ca="1">IF(ISERROR($V52),"",OFFSET('Smelter Look-up'!$I$4,$V52-4,0))</f>
        <v/>
      </c>
      <c r="K52" s="216"/>
      <c r="L52" s="216"/>
      <c r="M52" s="216"/>
      <c r="N52" s="216"/>
      <c r="O52" s="216"/>
      <c r="P52" s="178"/>
      <c r="Q52" s="217"/>
      <c r="R52" s="175" t="str">
        <f ca="1">IF(ISERROR($V52),"",OFFSET('Smelter Look-up'!$C$4,$V52-4,0)&amp;"")</f>
        <v/>
      </c>
      <c r="S52" s="174" t="str">
        <f t="shared" ca="1" si="6"/>
        <v/>
      </c>
      <c r="T52" s="174" t="str">
        <f ca="1">IF(B52="","",IF(ISERROR(MATCH($J52,SorP!$B$1:$B$6279,0)),"",INDIRECT("'SorP'!$A$"&amp;MATCH($S52&amp;$J52,SorP!C:C,0))))</f>
        <v/>
      </c>
      <c r="U52" s="194"/>
      <c r="V52" s="218" t="e">
        <f>IF(C52="",NA(),IF(OR(C52="Smelter not listed",C52="Smelter not yet identified"),MATCH($B52&amp;$D52,'Smelter Look-up'!$J:$J,0),MATCH($B52&amp;$C52,'Smelter Look-up'!$J:$J,0)))</f>
        <v>#N/A</v>
      </c>
      <c r="X52" s="219">
        <f t="shared" ca="1" si="7"/>
        <v>0</v>
      </c>
      <c r="AB52" s="220" t="str">
        <f t="shared" si="8"/>
        <v/>
      </c>
    </row>
    <row r="53" spans="1:28" s="219" customFormat="1" ht="20.25">
      <c r="A53" s="174"/>
      <c r="B53" s="175" t="str">
        <f>IF(LEN(A53)=0,"",INDEX('Smelter Look-up'!$A:$A,MATCH($A53,'Smelter Look-up'!$E:$E,0)))</f>
        <v/>
      </c>
      <c r="C53" s="179" t="str">
        <f>IF(LEN(A53)=0,"",INDEX('Smelter Look-up'!$C:$C,MATCH($A53,'Smelter Look-up'!$E:$E,0)))</f>
        <v/>
      </c>
      <c r="D53" s="222"/>
      <c r="E53" s="175" t="str">
        <f ca="1">IF(ISERROR($V53),"",OFFSET('Smelter Look-up'!$D$4,$V53-4,0)&amp;"")</f>
        <v/>
      </c>
      <c r="F53" s="175" t="str">
        <f ca="1">IF(ISERROR($V53),"",OFFSET('Smelter Look-up'!$E$4,$V53-4,0))</f>
        <v/>
      </c>
      <c r="G53" s="175" t="str">
        <f ca="1">IF(C53=$X$4,IF(ISERROR($V53),"Enter smelter details","RMI"),IF(ISERROR($V53),"",OFFSET('Smelter Look-up'!$F$4,$V53-4,0)))</f>
        <v/>
      </c>
      <c r="H53" s="176" t="str">
        <f ca="1">IF(ISERROR($V53),"",OFFSET('Smelter Look-up'!$G$4,$V53-4,0))</f>
        <v/>
      </c>
      <c r="I53" s="177" t="str">
        <f ca="1">IF(ISERROR($V53),"",OFFSET('Smelter Look-up'!$H$4,$V53-4,0))</f>
        <v/>
      </c>
      <c r="J53" s="177" t="str">
        <f ca="1">IF(ISERROR($V53),"",OFFSET('Smelter Look-up'!$I$4,$V53-4,0))</f>
        <v/>
      </c>
      <c r="K53" s="216"/>
      <c r="L53" s="216"/>
      <c r="M53" s="216"/>
      <c r="N53" s="216"/>
      <c r="O53" s="216"/>
      <c r="P53" s="178"/>
      <c r="Q53" s="217"/>
      <c r="R53" s="175" t="str">
        <f ca="1">IF(ISERROR($V53),"",OFFSET('Smelter Look-up'!$C$4,$V53-4,0)&amp;"")</f>
        <v/>
      </c>
      <c r="S53" s="174" t="str">
        <f t="shared" ca="1" si="6"/>
        <v/>
      </c>
      <c r="T53" s="174" t="str">
        <f ca="1">IF(B53="","",IF(ISERROR(MATCH($J53,SorP!$B$1:$B$6279,0)),"",INDIRECT("'SorP'!$A$"&amp;MATCH($S53&amp;$J53,SorP!C:C,0))))</f>
        <v/>
      </c>
      <c r="U53" s="194"/>
      <c r="V53" s="218" t="e">
        <f>IF(C53="",NA(),IF(OR(C53="Smelter not listed",C53="Smelter not yet identified"),MATCH($B53&amp;$D53,'Smelter Look-up'!$J:$J,0),MATCH($B53&amp;$C53,'Smelter Look-up'!$J:$J,0)))</f>
        <v>#N/A</v>
      </c>
      <c r="X53" s="219">
        <f t="shared" ca="1" si="7"/>
        <v>0</v>
      </c>
      <c r="AB53" s="220" t="str">
        <f t="shared" si="8"/>
        <v/>
      </c>
    </row>
    <row r="54" spans="1:28" s="219" customFormat="1" ht="20.25">
      <c r="A54" s="174"/>
      <c r="B54" s="175" t="str">
        <f>IF(LEN(A54)=0,"",INDEX('Smelter Look-up'!$A:$A,MATCH($A54,'Smelter Look-up'!$E:$E,0)))</f>
        <v/>
      </c>
      <c r="C54" s="179" t="str">
        <f>IF(LEN(A54)=0,"",INDEX('Smelter Look-up'!$C:$C,MATCH($A54,'Smelter Look-up'!$E:$E,0)))</f>
        <v/>
      </c>
      <c r="D54" s="222"/>
      <c r="E54" s="175" t="str">
        <f ca="1">IF(ISERROR($V54),"",OFFSET('Smelter Look-up'!$D$4,$V54-4,0)&amp;"")</f>
        <v/>
      </c>
      <c r="F54" s="175" t="str">
        <f ca="1">IF(ISERROR($V54),"",OFFSET('Smelter Look-up'!$E$4,$V54-4,0))</f>
        <v/>
      </c>
      <c r="G54" s="175" t="str">
        <f ca="1">IF(C54=$X$4,IF(ISERROR($V54),"Enter smelter details","RMI"),IF(ISERROR($V54),"",OFFSET('Smelter Look-up'!$F$4,$V54-4,0)))</f>
        <v/>
      </c>
      <c r="H54" s="176" t="str">
        <f ca="1">IF(ISERROR($V54),"",OFFSET('Smelter Look-up'!$G$4,$V54-4,0))</f>
        <v/>
      </c>
      <c r="I54" s="177" t="str">
        <f ca="1">IF(ISERROR($V54),"",OFFSET('Smelter Look-up'!$H$4,$V54-4,0))</f>
        <v/>
      </c>
      <c r="J54" s="177" t="str">
        <f ca="1">IF(ISERROR($V54),"",OFFSET('Smelter Look-up'!$I$4,$V54-4,0))</f>
        <v/>
      </c>
      <c r="K54" s="216"/>
      <c r="L54" s="216"/>
      <c r="M54" s="216"/>
      <c r="N54" s="216"/>
      <c r="O54" s="216"/>
      <c r="P54" s="178"/>
      <c r="Q54" s="217"/>
      <c r="R54" s="175" t="str">
        <f ca="1">IF(ISERROR($V54),"",OFFSET('Smelter Look-up'!$C$4,$V54-4,0)&amp;"")</f>
        <v/>
      </c>
      <c r="S54" s="174" t="str">
        <f t="shared" ca="1" si="6"/>
        <v/>
      </c>
      <c r="T54" s="174" t="str">
        <f ca="1">IF(B54="","",IF(ISERROR(MATCH($J54,SorP!$B$1:$B$6279,0)),"",INDIRECT("'SorP'!$A$"&amp;MATCH($S54&amp;$J54,SorP!C:C,0))))</f>
        <v/>
      </c>
      <c r="U54" s="194"/>
      <c r="V54" s="218" t="e">
        <f>IF(C54="",NA(),IF(OR(C54="Smelter not listed",C54="Smelter not yet identified"),MATCH($B54&amp;$D54,'Smelter Look-up'!$J:$J,0),MATCH($B54&amp;$C54,'Smelter Look-up'!$J:$J,0)))</f>
        <v>#N/A</v>
      </c>
      <c r="X54" s="219">
        <f t="shared" ca="1" si="7"/>
        <v>0</v>
      </c>
      <c r="AB54" s="220" t="str">
        <f t="shared" si="8"/>
        <v/>
      </c>
    </row>
    <row r="55" spans="1:28" s="219" customFormat="1" ht="20.25">
      <c r="A55" s="174"/>
      <c r="B55" s="175" t="str">
        <f>IF(LEN(A55)=0,"",INDEX('Smelter Look-up'!$A:$A,MATCH($A55,'Smelter Look-up'!$E:$E,0)))</f>
        <v/>
      </c>
      <c r="C55" s="179" t="str">
        <f>IF(LEN(A55)=0,"",INDEX('Smelter Look-up'!$C:$C,MATCH($A55,'Smelter Look-up'!$E:$E,0)))</f>
        <v/>
      </c>
      <c r="D55" s="222"/>
      <c r="E55" s="175" t="str">
        <f ca="1">IF(ISERROR($V55),"",OFFSET('Smelter Look-up'!$D$4,$V55-4,0)&amp;"")</f>
        <v/>
      </c>
      <c r="F55" s="175" t="str">
        <f ca="1">IF(ISERROR($V55),"",OFFSET('Smelter Look-up'!$E$4,$V55-4,0))</f>
        <v/>
      </c>
      <c r="G55" s="175" t="str">
        <f ca="1">IF(C55=$X$4,IF(ISERROR($V55),"Enter smelter details","RMI"),IF(ISERROR($V55),"",OFFSET('Smelter Look-up'!$F$4,$V55-4,0)))</f>
        <v/>
      </c>
      <c r="H55" s="176" t="str">
        <f ca="1">IF(ISERROR($V55),"",OFFSET('Smelter Look-up'!$G$4,$V55-4,0))</f>
        <v/>
      </c>
      <c r="I55" s="177" t="str">
        <f ca="1">IF(ISERROR($V55),"",OFFSET('Smelter Look-up'!$H$4,$V55-4,0))</f>
        <v/>
      </c>
      <c r="J55" s="177" t="str">
        <f ca="1">IF(ISERROR($V55),"",OFFSET('Smelter Look-up'!$I$4,$V55-4,0))</f>
        <v/>
      </c>
      <c r="K55" s="216"/>
      <c r="L55" s="216"/>
      <c r="M55" s="216"/>
      <c r="N55" s="216"/>
      <c r="O55" s="216"/>
      <c r="P55" s="178"/>
      <c r="Q55" s="217"/>
      <c r="R55" s="175" t="str">
        <f ca="1">IF(ISERROR($V55),"",OFFSET('Smelter Look-up'!$C$4,$V55-4,0)&amp;"")</f>
        <v/>
      </c>
      <c r="S55" s="174" t="str">
        <f t="shared" ca="1" si="6"/>
        <v/>
      </c>
      <c r="T55" s="174" t="str">
        <f ca="1">IF(B55="","",IF(ISERROR(MATCH($J55,SorP!$B$1:$B$6279,0)),"",INDIRECT("'SorP'!$A$"&amp;MATCH($S55&amp;$J55,SorP!C:C,0))))</f>
        <v/>
      </c>
      <c r="U55" s="194"/>
      <c r="V55" s="218" t="e">
        <f>IF(C55="",NA(),IF(OR(C55="Smelter not listed",C55="Smelter not yet identified"),MATCH($B55&amp;$D55,'Smelter Look-up'!$J:$J,0),MATCH($B55&amp;$C55,'Smelter Look-up'!$J:$J,0)))</f>
        <v>#N/A</v>
      </c>
      <c r="X55" s="219">
        <f t="shared" ca="1" si="7"/>
        <v>0</v>
      </c>
      <c r="AB55" s="220" t="str">
        <f t="shared" si="8"/>
        <v/>
      </c>
    </row>
    <row r="56" spans="1:28" s="219" customFormat="1" ht="20.25">
      <c r="A56" s="174"/>
      <c r="B56" s="175" t="str">
        <f>IF(LEN(A56)=0,"",INDEX('Smelter Look-up'!$A:$A,MATCH($A56,'Smelter Look-up'!$E:$E,0)))</f>
        <v/>
      </c>
      <c r="C56" s="179" t="str">
        <f>IF(LEN(A56)=0,"",INDEX('Smelter Look-up'!$C:$C,MATCH($A56,'Smelter Look-up'!$E:$E,0)))</f>
        <v/>
      </c>
      <c r="D56" s="222"/>
      <c r="E56" s="175" t="str">
        <f ca="1">IF(ISERROR($V56),"",OFFSET('Smelter Look-up'!$D$4,$V56-4,0)&amp;"")</f>
        <v/>
      </c>
      <c r="F56" s="175" t="str">
        <f ca="1">IF(ISERROR($V56),"",OFFSET('Smelter Look-up'!$E$4,$V56-4,0))</f>
        <v/>
      </c>
      <c r="G56" s="175" t="str">
        <f ca="1">IF(C56=$X$4,IF(ISERROR($V56),"Enter smelter details","RMI"),IF(ISERROR($V56),"",OFFSET('Smelter Look-up'!$F$4,$V56-4,0)))</f>
        <v/>
      </c>
      <c r="H56" s="176" t="str">
        <f ca="1">IF(ISERROR($V56),"",OFFSET('Smelter Look-up'!$G$4,$V56-4,0))</f>
        <v/>
      </c>
      <c r="I56" s="177" t="str">
        <f ca="1">IF(ISERROR($V56),"",OFFSET('Smelter Look-up'!$H$4,$V56-4,0))</f>
        <v/>
      </c>
      <c r="J56" s="177" t="str">
        <f ca="1">IF(ISERROR($V56),"",OFFSET('Smelter Look-up'!$I$4,$V56-4,0))</f>
        <v/>
      </c>
      <c r="K56" s="216"/>
      <c r="L56" s="216"/>
      <c r="M56" s="216"/>
      <c r="N56" s="216"/>
      <c r="O56" s="216"/>
      <c r="P56" s="178"/>
      <c r="Q56" s="217"/>
      <c r="R56" s="175" t="str">
        <f ca="1">IF(ISERROR($V56),"",OFFSET('Smelter Look-up'!$C$4,$V56-4,0)&amp;"")</f>
        <v/>
      </c>
      <c r="S56" s="174" t="str">
        <f t="shared" ca="1" si="6"/>
        <v/>
      </c>
      <c r="T56" s="174" t="str">
        <f ca="1">IF(B56="","",IF(ISERROR(MATCH($J56,SorP!$B$1:$B$6279,0)),"",INDIRECT("'SorP'!$A$"&amp;MATCH($S56&amp;$J56,SorP!C:C,0))))</f>
        <v/>
      </c>
      <c r="U56" s="194"/>
      <c r="V56" s="218" t="e">
        <f>IF(C56="",NA(),IF(OR(C56="Smelter not listed",C56="Smelter not yet identified"),MATCH($B56&amp;$D56,'Smelter Look-up'!$J:$J,0),MATCH($B56&amp;$C56,'Smelter Look-up'!$J:$J,0)))</f>
        <v>#N/A</v>
      </c>
      <c r="X56" s="219">
        <f t="shared" ca="1" si="7"/>
        <v>0</v>
      </c>
      <c r="AB56" s="220" t="str">
        <f t="shared" si="8"/>
        <v/>
      </c>
    </row>
    <row r="57" spans="1:28" s="219" customFormat="1" ht="20.25">
      <c r="A57" s="174"/>
      <c r="B57" s="175" t="str">
        <f>IF(LEN(A57)=0,"",INDEX('Smelter Look-up'!$A:$A,MATCH($A57,'Smelter Look-up'!$E:$E,0)))</f>
        <v/>
      </c>
      <c r="C57" s="179" t="str">
        <f>IF(LEN(A57)=0,"",INDEX('Smelter Look-up'!$C:$C,MATCH($A57,'Smelter Look-up'!$E:$E,0)))</f>
        <v/>
      </c>
      <c r="D57" s="222"/>
      <c r="E57" s="175" t="str">
        <f ca="1">IF(ISERROR($V57),"",OFFSET('Smelter Look-up'!$D$4,$V57-4,0)&amp;"")</f>
        <v/>
      </c>
      <c r="F57" s="175" t="str">
        <f ca="1">IF(ISERROR($V57),"",OFFSET('Smelter Look-up'!$E$4,$V57-4,0))</f>
        <v/>
      </c>
      <c r="G57" s="175" t="str">
        <f ca="1">IF(C57=$X$4,IF(ISERROR($V57),"Enter smelter details","RMI"),IF(ISERROR($V57),"",OFFSET('Smelter Look-up'!$F$4,$V57-4,0)))</f>
        <v/>
      </c>
      <c r="H57" s="176" t="str">
        <f ca="1">IF(ISERROR($V57),"",OFFSET('Smelter Look-up'!$G$4,$V57-4,0))</f>
        <v/>
      </c>
      <c r="I57" s="177" t="str">
        <f ca="1">IF(ISERROR($V57),"",OFFSET('Smelter Look-up'!$H$4,$V57-4,0))</f>
        <v/>
      </c>
      <c r="J57" s="177" t="str">
        <f ca="1">IF(ISERROR($V57),"",OFFSET('Smelter Look-up'!$I$4,$V57-4,0))</f>
        <v/>
      </c>
      <c r="K57" s="216"/>
      <c r="L57" s="216"/>
      <c r="M57" s="216"/>
      <c r="N57" s="216"/>
      <c r="O57" s="216"/>
      <c r="P57" s="178"/>
      <c r="Q57" s="217"/>
      <c r="R57" s="175" t="str">
        <f ca="1">IF(ISERROR($V57),"",OFFSET('Smelter Look-up'!$C$4,$V57-4,0)&amp;"")</f>
        <v/>
      </c>
      <c r="S57" s="174" t="str">
        <f t="shared" ca="1" si="6"/>
        <v/>
      </c>
      <c r="T57" s="174" t="str">
        <f ca="1">IF(B57="","",IF(ISERROR(MATCH($J57,SorP!$B$1:$B$6279,0)),"",INDIRECT("'SorP'!$A$"&amp;MATCH($S57&amp;$J57,SorP!C:C,0))))</f>
        <v/>
      </c>
      <c r="U57" s="194"/>
      <c r="V57" s="218" t="e">
        <f>IF(C57="",NA(),IF(OR(C57="Smelter not listed",C57="Smelter not yet identified"),MATCH($B57&amp;$D57,'Smelter Look-up'!$J:$J,0),MATCH($B57&amp;$C57,'Smelter Look-up'!$J:$J,0)))</f>
        <v>#N/A</v>
      </c>
      <c r="X57" s="219">
        <f t="shared" ca="1" si="7"/>
        <v>0</v>
      </c>
      <c r="AB57" s="220" t="str">
        <f t="shared" si="8"/>
        <v/>
      </c>
    </row>
    <row r="58" spans="1:28" s="219" customFormat="1" ht="20.25">
      <c r="A58" s="174"/>
      <c r="B58" s="175" t="str">
        <f>IF(LEN(A58)=0,"",INDEX('Smelter Look-up'!$A:$A,MATCH($A58,'Smelter Look-up'!$E:$E,0)))</f>
        <v/>
      </c>
      <c r="C58" s="179" t="str">
        <f>IF(LEN(A58)=0,"",INDEX('Smelter Look-up'!$C:$C,MATCH($A58,'Smelter Look-up'!$E:$E,0)))</f>
        <v/>
      </c>
      <c r="D58" s="222"/>
      <c r="E58" s="175" t="str">
        <f ca="1">IF(ISERROR($V58),"",OFFSET('Smelter Look-up'!$D$4,$V58-4,0)&amp;"")</f>
        <v/>
      </c>
      <c r="F58" s="175" t="str">
        <f ca="1">IF(ISERROR($V58),"",OFFSET('Smelter Look-up'!$E$4,$V58-4,0))</f>
        <v/>
      </c>
      <c r="G58" s="175" t="str">
        <f ca="1">IF(C58=$X$4,IF(ISERROR($V58),"Enter smelter details","RMI"),IF(ISERROR($V58),"",OFFSET('Smelter Look-up'!$F$4,$V58-4,0)))</f>
        <v/>
      </c>
      <c r="H58" s="176" t="str">
        <f ca="1">IF(ISERROR($V58),"",OFFSET('Smelter Look-up'!$G$4,$V58-4,0))</f>
        <v/>
      </c>
      <c r="I58" s="177" t="str">
        <f ca="1">IF(ISERROR($V58),"",OFFSET('Smelter Look-up'!$H$4,$V58-4,0))</f>
        <v/>
      </c>
      <c r="J58" s="177" t="str">
        <f ca="1">IF(ISERROR($V58),"",OFFSET('Smelter Look-up'!$I$4,$V58-4,0))</f>
        <v/>
      </c>
      <c r="K58" s="216"/>
      <c r="L58" s="216"/>
      <c r="M58" s="216"/>
      <c r="N58" s="216"/>
      <c r="O58" s="216"/>
      <c r="P58" s="178"/>
      <c r="Q58" s="217"/>
      <c r="R58" s="175" t="str">
        <f ca="1">IF(ISERROR($V58),"",OFFSET('Smelter Look-up'!$C$4,$V58-4,0)&amp;"")</f>
        <v/>
      </c>
      <c r="S58" s="174" t="str">
        <f t="shared" ca="1" si="6"/>
        <v/>
      </c>
      <c r="T58" s="174" t="str">
        <f ca="1">IF(B58="","",IF(ISERROR(MATCH($J58,SorP!$B$1:$B$6279,0)),"",INDIRECT("'SorP'!$A$"&amp;MATCH($S58&amp;$J58,SorP!C:C,0))))</f>
        <v/>
      </c>
      <c r="U58" s="194"/>
      <c r="V58" s="218" t="e">
        <f>IF(C58="",NA(),IF(OR(C58="Smelter not listed",C58="Smelter not yet identified"),MATCH($B58&amp;$D58,'Smelter Look-up'!$J:$J,0),MATCH($B58&amp;$C58,'Smelter Look-up'!$J:$J,0)))</f>
        <v>#N/A</v>
      </c>
      <c r="X58" s="219">
        <f t="shared" ca="1" si="7"/>
        <v>0</v>
      </c>
      <c r="AB58" s="220" t="str">
        <f t="shared" si="8"/>
        <v/>
      </c>
    </row>
    <row r="59" spans="1:28" s="219" customFormat="1" ht="20.25">
      <c r="A59" s="174"/>
      <c r="B59" s="175" t="str">
        <f>IF(LEN(A59)=0,"",INDEX('Smelter Look-up'!$A:$A,MATCH($A59,'Smelter Look-up'!$E:$E,0)))</f>
        <v/>
      </c>
      <c r="C59" s="179" t="str">
        <f>IF(LEN(A59)=0,"",INDEX('Smelter Look-up'!$C:$C,MATCH($A59,'Smelter Look-up'!$E:$E,0)))</f>
        <v/>
      </c>
      <c r="D59" s="222"/>
      <c r="E59" s="175" t="str">
        <f ca="1">IF(ISERROR($V59),"",OFFSET('Smelter Look-up'!$D$4,$V59-4,0)&amp;"")</f>
        <v/>
      </c>
      <c r="F59" s="175" t="str">
        <f ca="1">IF(ISERROR($V59),"",OFFSET('Smelter Look-up'!$E$4,$V59-4,0))</f>
        <v/>
      </c>
      <c r="G59" s="175" t="str">
        <f ca="1">IF(C59=$X$4,IF(ISERROR($V59),"Enter smelter details","RMI"),IF(ISERROR($V59),"",OFFSET('Smelter Look-up'!$F$4,$V59-4,0)))</f>
        <v/>
      </c>
      <c r="H59" s="176" t="str">
        <f ca="1">IF(ISERROR($V59),"",OFFSET('Smelter Look-up'!$G$4,$V59-4,0))</f>
        <v/>
      </c>
      <c r="I59" s="177" t="str">
        <f ca="1">IF(ISERROR($V59),"",OFFSET('Smelter Look-up'!$H$4,$V59-4,0))</f>
        <v/>
      </c>
      <c r="J59" s="177" t="str">
        <f ca="1">IF(ISERROR($V59),"",OFFSET('Smelter Look-up'!$I$4,$V59-4,0))</f>
        <v/>
      </c>
      <c r="K59" s="216"/>
      <c r="L59" s="216"/>
      <c r="M59" s="216"/>
      <c r="N59" s="216"/>
      <c r="O59" s="216"/>
      <c r="P59" s="178"/>
      <c r="Q59" s="217"/>
      <c r="R59" s="175" t="str">
        <f ca="1">IF(ISERROR($V59),"",OFFSET('Smelter Look-up'!$C$4,$V59-4,0)&amp;"")</f>
        <v/>
      </c>
      <c r="S59" s="174" t="str">
        <f t="shared" ca="1" si="6"/>
        <v/>
      </c>
      <c r="T59" s="174" t="str">
        <f ca="1">IF(B59="","",IF(ISERROR(MATCH($J59,SorP!$B$1:$B$6279,0)),"",INDIRECT("'SorP'!$A$"&amp;MATCH($S59&amp;$J59,SorP!C:C,0))))</f>
        <v/>
      </c>
      <c r="U59" s="194"/>
      <c r="V59" s="218" t="e">
        <f>IF(C59="",NA(),IF(OR(C59="Smelter not listed",C59="Smelter not yet identified"),MATCH($B59&amp;$D59,'Smelter Look-up'!$J:$J,0),MATCH($B59&amp;$C59,'Smelter Look-up'!$J:$J,0)))</f>
        <v>#N/A</v>
      </c>
      <c r="X59" s="219">
        <f t="shared" ca="1" si="7"/>
        <v>0</v>
      </c>
      <c r="AB59" s="220" t="str">
        <f t="shared" si="8"/>
        <v/>
      </c>
    </row>
    <row r="60" spans="1:28" s="219" customFormat="1" ht="20.25">
      <c r="A60" s="174"/>
      <c r="B60" s="175" t="str">
        <f>IF(LEN(A60)=0,"",INDEX('Smelter Look-up'!$A:$A,MATCH($A60,'Smelter Look-up'!$E:$E,0)))</f>
        <v/>
      </c>
      <c r="C60" s="179" t="str">
        <f>IF(LEN(A60)=0,"",INDEX('Smelter Look-up'!$C:$C,MATCH($A60,'Smelter Look-up'!$E:$E,0)))</f>
        <v/>
      </c>
      <c r="D60" s="222"/>
      <c r="E60" s="175" t="str">
        <f ca="1">IF(ISERROR($V60),"",OFFSET('Smelter Look-up'!$D$4,$V60-4,0)&amp;"")</f>
        <v/>
      </c>
      <c r="F60" s="175" t="str">
        <f ca="1">IF(ISERROR($V60),"",OFFSET('Smelter Look-up'!$E$4,$V60-4,0))</f>
        <v/>
      </c>
      <c r="G60" s="175" t="str">
        <f ca="1">IF(C60=$X$4,IF(ISERROR($V60),"Enter smelter details","RMI"),IF(ISERROR($V60),"",OFFSET('Smelter Look-up'!$F$4,$V60-4,0)))</f>
        <v/>
      </c>
      <c r="H60" s="176" t="str">
        <f ca="1">IF(ISERROR($V60),"",OFFSET('Smelter Look-up'!$G$4,$V60-4,0))</f>
        <v/>
      </c>
      <c r="I60" s="177" t="str">
        <f ca="1">IF(ISERROR($V60),"",OFFSET('Smelter Look-up'!$H$4,$V60-4,0))</f>
        <v/>
      </c>
      <c r="J60" s="177" t="str">
        <f ca="1">IF(ISERROR($V60),"",OFFSET('Smelter Look-up'!$I$4,$V60-4,0))</f>
        <v/>
      </c>
      <c r="K60" s="216"/>
      <c r="L60" s="216"/>
      <c r="M60" s="216"/>
      <c r="N60" s="216"/>
      <c r="O60" s="216"/>
      <c r="P60" s="178"/>
      <c r="Q60" s="217"/>
      <c r="R60" s="175" t="str">
        <f ca="1">IF(ISERROR($V60),"",OFFSET('Smelter Look-up'!$C$4,$V60-4,0)&amp;"")</f>
        <v/>
      </c>
      <c r="S60" s="174" t="str">
        <f t="shared" ca="1" si="6"/>
        <v/>
      </c>
      <c r="T60" s="174" t="str">
        <f ca="1">IF(B60="","",IF(ISERROR(MATCH($J60,SorP!$B$1:$B$6279,0)),"",INDIRECT("'SorP'!$A$"&amp;MATCH($S60&amp;$J60,SorP!C:C,0))))</f>
        <v/>
      </c>
      <c r="U60" s="194"/>
      <c r="V60" s="218" t="e">
        <f>IF(C60="",NA(),IF(OR(C60="Smelter not listed",C60="Smelter not yet identified"),MATCH($B60&amp;$D60,'Smelter Look-up'!$J:$J,0),MATCH($B60&amp;$C60,'Smelter Look-up'!$J:$J,0)))</f>
        <v>#N/A</v>
      </c>
      <c r="X60" s="219">
        <f t="shared" ca="1" si="7"/>
        <v>0</v>
      </c>
      <c r="AB60" s="220" t="str">
        <f t="shared" si="8"/>
        <v/>
      </c>
    </row>
    <row r="61" spans="1:28" s="219" customFormat="1" ht="20.25">
      <c r="A61" s="174"/>
      <c r="B61" s="175" t="str">
        <f>IF(LEN(A61)=0,"",INDEX('Smelter Look-up'!$A:$A,MATCH($A61,'Smelter Look-up'!$E:$E,0)))</f>
        <v/>
      </c>
      <c r="C61" s="179" t="str">
        <f>IF(LEN(A61)=0,"",INDEX('Smelter Look-up'!$C:$C,MATCH($A61,'Smelter Look-up'!$E:$E,0)))</f>
        <v/>
      </c>
      <c r="D61" s="222"/>
      <c r="E61" s="175" t="str">
        <f ca="1">IF(ISERROR($V61),"",OFFSET('Smelter Look-up'!$D$4,$V61-4,0)&amp;"")</f>
        <v/>
      </c>
      <c r="F61" s="175" t="str">
        <f ca="1">IF(ISERROR($V61),"",OFFSET('Smelter Look-up'!$E$4,$V61-4,0))</f>
        <v/>
      </c>
      <c r="G61" s="175" t="str">
        <f ca="1">IF(C61=$X$4,IF(ISERROR($V61),"Enter smelter details","RMI"),IF(ISERROR($V61),"",OFFSET('Smelter Look-up'!$F$4,$V61-4,0)))</f>
        <v/>
      </c>
      <c r="H61" s="176" t="str">
        <f ca="1">IF(ISERROR($V61),"",OFFSET('Smelter Look-up'!$G$4,$V61-4,0))</f>
        <v/>
      </c>
      <c r="I61" s="177" t="str">
        <f ca="1">IF(ISERROR($V61),"",OFFSET('Smelter Look-up'!$H$4,$V61-4,0))</f>
        <v/>
      </c>
      <c r="J61" s="177" t="str">
        <f ca="1">IF(ISERROR($V61),"",OFFSET('Smelter Look-up'!$I$4,$V61-4,0))</f>
        <v/>
      </c>
      <c r="K61" s="216"/>
      <c r="L61" s="216"/>
      <c r="M61" s="216"/>
      <c r="N61" s="216"/>
      <c r="O61" s="216"/>
      <c r="P61" s="178"/>
      <c r="Q61" s="217"/>
      <c r="R61" s="175" t="str">
        <f ca="1">IF(ISERROR($V61),"",OFFSET('Smelter Look-up'!$C$4,$V61-4,0)&amp;"")</f>
        <v/>
      </c>
      <c r="S61" s="174" t="str">
        <f t="shared" ca="1" si="6"/>
        <v/>
      </c>
      <c r="T61" s="174" t="str">
        <f ca="1">IF(B61="","",IF(ISERROR(MATCH($J61,SorP!$B$1:$B$6279,0)),"",INDIRECT("'SorP'!$A$"&amp;MATCH($S61&amp;$J61,SorP!C:C,0))))</f>
        <v/>
      </c>
      <c r="U61" s="194"/>
      <c r="V61" s="218" t="e">
        <f>IF(C61="",NA(),IF(OR(C61="Smelter not listed",C61="Smelter not yet identified"),MATCH($B61&amp;$D61,'Smelter Look-up'!$J:$J,0),MATCH($B61&amp;$C61,'Smelter Look-up'!$J:$J,0)))</f>
        <v>#N/A</v>
      </c>
      <c r="X61" s="219">
        <f t="shared" ca="1" si="7"/>
        <v>0</v>
      </c>
      <c r="AB61" s="220" t="str">
        <f t="shared" si="8"/>
        <v/>
      </c>
    </row>
    <row r="62" spans="1:28" s="219" customFormat="1" ht="20.25">
      <c r="A62" s="174"/>
      <c r="B62" s="175" t="str">
        <f>IF(LEN(A62)=0,"",INDEX('Smelter Look-up'!$A:$A,MATCH($A62,'Smelter Look-up'!$E:$E,0)))</f>
        <v/>
      </c>
      <c r="C62" s="179" t="str">
        <f>IF(LEN(A62)=0,"",INDEX('Smelter Look-up'!$C:$C,MATCH($A62,'Smelter Look-up'!$E:$E,0)))</f>
        <v/>
      </c>
      <c r="D62" s="222"/>
      <c r="E62" s="175" t="str">
        <f ca="1">IF(ISERROR($V62),"",OFFSET('Smelter Look-up'!$D$4,$V62-4,0)&amp;"")</f>
        <v/>
      </c>
      <c r="F62" s="175" t="str">
        <f ca="1">IF(ISERROR($V62),"",OFFSET('Smelter Look-up'!$E$4,$V62-4,0))</f>
        <v/>
      </c>
      <c r="G62" s="175" t="str">
        <f ca="1">IF(C62=$X$4,IF(ISERROR($V62),"Enter smelter details","RMI"),IF(ISERROR($V62),"",OFFSET('Smelter Look-up'!$F$4,$V62-4,0)))</f>
        <v/>
      </c>
      <c r="H62" s="176" t="str">
        <f ca="1">IF(ISERROR($V62),"",OFFSET('Smelter Look-up'!$G$4,$V62-4,0))</f>
        <v/>
      </c>
      <c r="I62" s="177" t="str">
        <f ca="1">IF(ISERROR($V62),"",OFFSET('Smelter Look-up'!$H$4,$V62-4,0))</f>
        <v/>
      </c>
      <c r="J62" s="177" t="str">
        <f ca="1">IF(ISERROR($V62),"",OFFSET('Smelter Look-up'!$I$4,$V62-4,0))</f>
        <v/>
      </c>
      <c r="K62" s="216"/>
      <c r="L62" s="216"/>
      <c r="M62" s="216"/>
      <c r="N62" s="216"/>
      <c r="O62" s="216"/>
      <c r="P62" s="178"/>
      <c r="Q62" s="217"/>
      <c r="R62" s="175" t="str">
        <f ca="1">IF(ISERROR($V62),"",OFFSET('Smelter Look-up'!$C$4,$V62-4,0)&amp;"")</f>
        <v/>
      </c>
      <c r="S62" s="174" t="str">
        <f t="shared" ca="1" si="6"/>
        <v/>
      </c>
      <c r="T62" s="174" t="str">
        <f ca="1">IF(B62="","",IF(ISERROR(MATCH($J62,SorP!$B$1:$B$6279,0)),"",INDIRECT("'SorP'!$A$"&amp;MATCH($S62&amp;$J62,SorP!C:C,0))))</f>
        <v/>
      </c>
      <c r="U62" s="194"/>
      <c r="V62" s="218" t="e">
        <f>IF(C62="",NA(),IF(OR(C62="Smelter not listed",C62="Smelter not yet identified"),MATCH($B62&amp;$D62,'Smelter Look-up'!$J:$J,0),MATCH($B62&amp;$C62,'Smelter Look-up'!$J:$J,0)))</f>
        <v>#N/A</v>
      </c>
      <c r="X62" s="219">
        <f t="shared" ca="1" si="7"/>
        <v>0</v>
      </c>
      <c r="AB62" s="220" t="str">
        <f t="shared" si="8"/>
        <v/>
      </c>
    </row>
    <row r="63" spans="1:28" s="219" customFormat="1" ht="20.25">
      <c r="A63" s="174"/>
      <c r="B63" s="175" t="str">
        <f>IF(LEN(A63)=0,"",INDEX('Smelter Look-up'!$A:$A,MATCH($A63,'Smelter Look-up'!$E:$E,0)))</f>
        <v/>
      </c>
      <c r="C63" s="179" t="str">
        <f>IF(LEN(A63)=0,"",INDEX('Smelter Look-up'!$C:$C,MATCH($A63,'Smelter Look-up'!$E:$E,0)))</f>
        <v/>
      </c>
      <c r="D63" s="222"/>
      <c r="E63" s="175" t="str">
        <f ca="1">IF(ISERROR($V63),"",OFFSET('Smelter Look-up'!$D$4,$V63-4,0)&amp;"")</f>
        <v/>
      </c>
      <c r="F63" s="175" t="str">
        <f ca="1">IF(ISERROR($V63),"",OFFSET('Smelter Look-up'!$E$4,$V63-4,0))</f>
        <v/>
      </c>
      <c r="G63" s="175" t="str">
        <f ca="1">IF(C63=$X$4,IF(ISERROR($V63),"Enter smelter details","RMI"),IF(ISERROR($V63),"",OFFSET('Smelter Look-up'!$F$4,$V63-4,0)))</f>
        <v/>
      </c>
      <c r="H63" s="176" t="str">
        <f ca="1">IF(ISERROR($V63),"",OFFSET('Smelter Look-up'!$G$4,$V63-4,0))</f>
        <v/>
      </c>
      <c r="I63" s="177" t="str">
        <f ca="1">IF(ISERROR($V63),"",OFFSET('Smelter Look-up'!$H$4,$V63-4,0))</f>
        <v/>
      </c>
      <c r="J63" s="177" t="str">
        <f ca="1">IF(ISERROR($V63),"",OFFSET('Smelter Look-up'!$I$4,$V63-4,0))</f>
        <v/>
      </c>
      <c r="K63" s="216"/>
      <c r="L63" s="216"/>
      <c r="M63" s="216"/>
      <c r="N63" s="216"/>
      <c r="O63" s="216"/>
      <c r="P63" s="178"/>
      <c r="Q63" s="217"/>
      <c r="R63" s="175" t="str">
        <f ca="1">IF(ISERROR($V63),"",OFFSET('Smelter Look-up'!$C$4,$V63-4,0)&amp;"")</f>
        <v/>
      </c>
      <c r="S63" s="174" t="str">
        <f t="shared" ca="1" si="6"/>
        <v/>
      </c>
      <c r="T63" s="174" t="str">
        <f ca="1">IF(B63="","",IF(ISERROR(MATCH($J63,SorP!$B$1:$B$6279,0)),"",INDIRECT("'SorP'!$A$"&amp;MATCH($S63&amp;$J63,SorP!C:C,0))))</f>
        <v/>
      </c>
      <c r="U63" s="194"/>
      <c r="V63" s="218" t="e">
        <f>IF(C63="",NA(),IF(OR(C63="Smelter not listed",C63="Smelter not yet identified"),MATCH($B63&amp;$D63,'Smelter Look-up'!$J:$J,0),MATCH($B63&amp;$C63,'Smelter Look-up'!$J:$J,0)))</f>
        <v>#N/A</v>
      </c>
      <c r="X63" s="219">
        <f t="shared" ca="1" si="7"/>
        <v>0</v>
      </c>
      <c r="AB63" s="220" t="str">
        <f t="shared" si="8"/>
        <v/>
      </c>
    </row>
    <row r="64" spans="1:28" s="219" customFormat="1" ht="20.25">
      <c r="A64" s="174"/>
      <c r="B64" s="175" t="str">
        <f>IF(LEN(A64)=0,"",INDEX('Smelter Look-up'!$A:$A,MATCH($A64,'Smelter Look-up'!$E:$E,0)))</f>
        <v/>
      </c>
      <c r="C64" s="179" t="str">
        <f>IF(LEN(A64)=0,"",INDEX('Smelter Look-up'!$C:$C,MATCH($A64,'Smelter Look-up'!$E:$E,0)))</f>
        <v/>
      </c>
      <c r="D64" s="222"/>
      <c r="E64" s="175" t="str">
        <f ca="1">IF(ISERROR($V64),"",OFFSET('Smelter Look-up'!$D$4,$V64-4,0)&amp;"")</f>
        <v/>
      </c>
      <c r="F64" s="175" t="str">
        <f ca="1">IF(ISERROR($V64),"",OFFSET('Smelter Look-up'!$E$4,$V64-4,0))</f>
        <v/>
      </c>
      <c r="G64" s="175" t="str">
        <f ca="1">IF(C64=$X$4,IF(ISERROR($V64),"Enter smelter details","RMI"),IF(ISERROR($V64),"",OFFSET('Smelter Look-up'!$F$4,$V64-4,0)))</f>
        <v/>
      </c>
      <c r="H64" s="176" t="str">
        <f ca="1">IF(ISERROR($V64),"",OFFSET('Smelter Look-up'!$G$4,$V64-4,0))</f>
        <v/>
      </c>
      <c r="I64" s="177" t="str">
        <f ca="1">IF(ISERROR($V64),"",OFFSET('Smelter Look-up'!$H$4,$V64-4,0))</f>
        <v/>
      </c>
      <c r="J64" s="177" t="str">
        <f ca="1">IF(ISERROR($V64),"",OFFSET('Smelter Look-up'!$I$4,$V64-4,0))</f>
        <v/>
      </c>
      <c r="K64" s="216"/>
      <c r="L64" s="216"/>
      <c r="M64" s="216"/>
      <c r="N64" s="216"/>
      <c r="O64" s="216"/>
      <c r="P64" s="178"/>
      <c r="Q64" s="217"/>
      <c r="R64" s="175" t="str">
        <f ca="1">IF(ISERROR($V64),"",OFFSET('Smelter Look-up'!$C$4,$V64-4,0)&amp;"")</f>
        <v/>
      </c>
      <c r="S64" s="174" t="str">
        <f t="shared" ca="1" si="6"/>
        <v/>
      </c>
      <c r="T64" s="174" t="str">
        <f ca="1">IF(B64="","",IF(ISERROR(MATCH($J64,SorP!$B$1:$B$6279,0)),"",INDIRECT("'SorP'!$A$"&amp;MATCH($S64&amp;$J64,SorP!C:C,0))))</f>
        <v/>
      </c>
      <c r="U64" s="194"/>
      <c r="V64" s="218" t="e">
        <f>IF(C64="",NA(),IF(OR(C64="Smelter not listed",C64="Smelter not yet identified"),MATCH($B64&amp;$D64,'Smelter Look-up'!$J:$J,0),MATCH($B64&amp;$C64,'Smelter Look-up'!$J:$J,0)))</f>
        <v>#N/A</v>
      </c>
      <c r="X64" s="219">
        <f t="shared" ca="1" si="7"/>
        <v>0</v>
      </c>
      <c r="AB64" s="220" t="str">
        <f t="shared" si="8"/>
        <v/>
      </c>
    </row>
    <row r="65" spans="1:28" s="219" customFormat="1" ht="20.25">
      <c r="A65" s="174"/>
      <c r="B65" s="175" t="str">
        <f>IF(LEN(A65)=0,"",INDEX('Smelter Look-up'!$A:$A,MATCH($A65,'Smelter Look-up'!$E:$E,0)))</f>
        <v/>
      </c>
      <c r="C65" s="179" t="str">
        <f>IF(LEN(A65)=0,"",INDEX('Smelter Look-up'!$C:$C,MATCH($A65,'Smelter Look-up'!$E:$E,0)))</f>
        <v/>
      </c>
      <c r="D65" s="222"/>
      <c r="E65" s="175" t="str">
        <f ca="1">IF(ISERROR($V65),"",OFFSET('Smelter Look-up'!$D$4,$V65-4,0)&amp;"")</f>
        <v/>
      </c>
      <c r="F65" s="175" t="str">
        <f ca="1">IF(ISERROR($V65),"",OFFSET('Smelter Look-up'!$E$4,$V65-4,0))</f>
        <v/>
      </c>
      <c r="G65" s="175" t="str">
        <f ca="1">IF(C65=$X$4,IF(ISERROR($V65),"Enter smelter details","RMI"),IF(ISERROR($V65),"",OFFSET('Smelter Look-up'!$F$4,$V65-4,0)))</f>
        <v/>
      </c>
      <c r="H65" s="176" t="str">
        <f ca="1">IF(ISERROR($V65),"",OFFSET('Smelter Look-up'!$G$4,$V65-4,0))</f>
        <v/>
      </c>
      <c r="I65" s="177" t="str">
        <f ca="1">IF(ISERROR($V65),"",OFFSET('Smelter Look-up'!$H$4,$V65-4,0))</f>
        <v/>
      </c>
      <c r="J65" s="177" t="str">
        <f ca="1">IF(ISERROR($V65),"",OFFSET('Smelter Look-up'!$I$4,$V65-4,0))</f>
        <v/>
      </c>
      <c r="K65" s="216"/>
      <c r="L65" s="216"/>
      <c r="M65" s="216"/>
      <c r="N65" s="216"/>
      <c r="O65" s="216"/>
      <c r="P65" s="178"/>
      <c r="Q65" s="217"/>
      <c r="R65" s="175" t="str">
        <f ca="1">IF(ISERROR($V65),"",OFFSET('Smelter Look-up'!$C$4,$V65-4,0)&amp;"")</f>
        <v/>
      </c>
      <c r="S65" s="174" t="str">
        <f t="shared" ca="1" si="6"/>
        <v/>
      </c>
      <c r="T65" s="174" t="str">
        <f ca="1">IF(B65="","",IF(ISERROR(MATCH($J65,SorP!$B$1:$B$6279,0)),"",INDIRECT("'SorP'!$A$"&amp;MATCH($S65&amp;$J65,SorP!C:C,0))))</f>
        <v/>
      </c>
      <c r="U65" s="194"/>
      <c r="V65" s="218" t="e">
        <f>IF(C65="",NA(),IF(OR(C65="Smelter not listed",C65="Smelter not yet identified"),MATCH($B65&amp;$D65,'Smelter Look-up'!$J:$J,0),MATCH($B65&amp;$C65,'Smelter Look-up'!$J:$J,0)))</f>
        <v>#N/A</v>
      </c>
      <c r="X65" s="219">
        <f t="shared" ca="1" si="7"/>
        <v>0</v>
      </c>
      <c r="AB65" s="220" t="str">
        <f t="shared" si="8"/>
        <v/>
      </c>
    </row>
    <row r="66" spans="1:28" s="219" customFormat="1" ht="20.25">
      <c r="A66" s="174"/>
      <c r="B66" s="175" t="str">
        <f>IF(LEN(A66)=0,"",INDEX('Smelter Look-up'!$A:$A,MATCH($A66,'Smelter Look-up'!$E:$E,0)))</f>
        <v/>
      </c>
      <c r="C66" s="179" t="str">
        <f>IF(LEN(A66)=0,"",INDEX('Smelter Look-up'!$C:$C,MATCH($A66,'Smelter Look-up'!$E:$E,0)))</f>
        <v/>
      </c>
      <c r="D66" s="222"/>
      <c r="E66" s="175" t="str">
        <f ca="1">IF(ISERROR($V66),"",OFFSET('Smelter Look-up'!$D$4,$V66-4,0)&amp;"")</f>
        <v/>
      </c>
      <c r="F66" s="175" t="str">
        <f ca="1">IF(ISERROR($V66),"",OFFSET('Smelter Look-up'!$E$4,$V66-4,0))</f>
        <v/>
      </c>
      <c r="G66" s="175" t="str">
        <f ca="1">IF(C66=$X$4,IF(ISERROR($V66),"Enter smelter details","RMI"),IF(ISERROR($V66),"",OFFSET('Smelter Look-up'!$F$4,$V66-4,0)))</f>
        <v/>
      </c>
      <c r="H66" s="176" t="str">
        <f ca="1">IF(ISERROR($V66),"",OFFSET('Smelter Look-up'!$G$4,$V66-4,0))</f>
        <v/>
      </c>
      <c r="I66" s="177" t="str">
        <f ca="1">IF(ISERROR($V66),"",OFFSET('Smelter Look-up'!$H$4,$V66-4,0))</f>
        <v/>
      </c>
      <c r="J66" s="177" t="str">
        <f ca="1">IF(ISERROR($V66),"",OFFSET('Smelter Look-up'!$I$4,$V66-4,0))</f>
        <v/>
      </c>
      <c r="K66" s="216"/>
      <c r="L66" s="216"/>
      <c r="M66" s="216"/>
      <c r="N66" s="216"/>
      <c r="O66" s="216"/>
      <c r="P66" s="178"/>
      <c r="Q66" s="217"/>
      <c r="R66" s="175" t="str">
        <f ca="1">IF(ISERROR($V66),"",OFFSET('Smelter Look-up'!$C$4,$V66-4,0)&amp;"")</f>
        <v/>
      </c>
      <c r="S66" s="174" t="str">
        <f t="shared" ca="1" si="6"/>
        <v/>
      </c>
      <c r="T66" s="174" t="str">
        <f ca="1">IF(B66="","",IF(ISERROR(MATCH($J66,SorP!$B$1:$B$6279,0)),"",INDIRECT("'SorP'!$A$"&amp;MATCH($S66&amp;$J66,SorP!C:C,0))))</f>
        <v/>
      </c>
      <c r="U66" s="194"/>
      <c r="V66" s="218" t="e">
        <f>IF(C66="",NA(),IF(OR(C66="Smelter not listed",C66="Smelter not yet identified"),MATCH($B66&amp;$D66,'Smelter Look-up'!$J:$J,0),MATCH($B66&amp;$C66,'Smelter Look-up'!$J:$J,0)))</f>
        <v>#N/A</v>
      </c>
      <c r="X66" s="219">
        <f t="shared" ca="1" si="7"/>
        <v>0</v>
      </c>
      <c r="AB66" s="220" t="str">
        <f t="shared" si="8"/>
        <v/>
      </c>
    </row>
    <row r="67" spans="1:28" s="219" customFormat="1" ht="20.25">
      <c r="A67" s="174"/>
      <c r="B67" s="175" t="str">
        <f>IF(LEN(A67)=0,"",INDEX('Smelter Look-up'!$A:$A,MATCH($A67,'Smelter Look-up'!$E:$E,0)))</f>
        <v/>
      </c>
      <c r="C67" s="179" t="str">
        <f>IF(LEN(A67)=0,"",INDEX('Smelter Look-up'!$C:$C,MATCH($A67,'Smelter Look-up'!$E:$E,0)))</f>
        <v/>
      </c>
      <c r="D67" s="222"/>
      <c r="E67" s="175" t="str">
        <f ca="1">IF(ISERROR($V67),"",OFFSET('Smelter Look-up'!$D$4,$V67-4,0)&amp;"")</f>
        <v/>
      </c>
      <c r="F67" s="175" t="str">
        <f ca="1">IF(ISERROR($V67),"",OFFSET('Smelter Look-up'!$E$4,$V67-4,0))</f>
        <v/>
      </c>
      <c r="G67" s="175" t="str">
        <f ca="1">IF(C67=$X$4,IF(ISERROR($V67),"Enter smelter details","RMI"),IF(ISERROR($V67),"",OFFSET('Smelter Look-up'!$F$4,$V67-4,0)))</f>
        <v/>
      </c>
      <c r="H67" s="176" t="str">
        <f ca="1">IF(ISERROR($V67),"",OFFSET('Smelter Look-up'!$G$4,$V67-4,0))</f>
        <v/>
      </c>
      <c r="I67" s="177" t="str">
        <f ca="1">IF(ISERROR($V67),"",OFFSET('Smelter Look-up'!$H$4,$V67-4,0))</f>
        <v/>
      </c>
      <c r="J67" s="177" t="str">
        <f ca="1">IF(ISERROR($V67),"",OFFSET('Smelter Look-up'!$I$4,$V67-4,0))</f>
        <v/>
      </c>
      <c r="K67" s="216"/>
      <c r="L67" s="216"/>
      <c r="M67" s="216"/>
      <c r="N67" s="216"/>
      <c r="O67" s="216"/>
      <c r="P67" s="178"/>
      <c r="Q67" s="217"/>
      <c r="R67" s="175" t="str">
        <f ca="1">IF(ISERROR($V67),"",OFFSET('Smelter Look-up'!$C$4,$V67-4,0)&amp;"")</f>
        <v/>
      </c>
      <c r="S67" s="174" t="str">
        <f t="shared" ca="1" si="6"/>
        <v/>
      </c>
      <c r="T67" s="174" t="str">
        <f ca="1">IF(B67="","",IF(ISERROR(MATCH($J67,SorP!$B$1:$B$6279,0)),"",INDIRECT("'SorP'!$A$"&amp;MATCH($S67&amp;$J67,SorP!C:C,0))))</f>
        <v/>
      </c>
      <c r="U67" s="194"/>
      <c r="V67" s="218" t="e">
        <f>IF(C67="",NA(),IF(OR(C67="Smelter not listed",C67="Smelter not yet identified"),MATCH($B67&amp;$D67,'Smelter Look-up'!$J:$J,0),MATCH($B67&amp;$C67,'Smelter Look-up'!$J:$J,0)))</f>
        <v>#N/A</v>
      </c>
      <c r="X67" s="219">
        <f t="shared" ca="1" si="7"/>
        <v>0</v>
      </c>
      <c r="AB67" s="220" t="str">
        <f t="shared" si="8"/>
        <v/>
      </c>
    </row>
    <row r="68" spans="1:28" s="219" customFormat="1" ht="20.25">
      <c r="A68" s="174"/>
      <c r="B68" s="175" t="str">
        <f>IF(LEN(A68)=0,"",INDEX('Smelter Look-up'!$A:$A,MATCH($A68,'Smelter Look-up'!$E:$E,0)))</f>
        <v/>
      </c>
      <c r="C68" s="179" t="str">
        <f>IF(LEN(A68)=0,"",INDEX('Smelter Look-up'!$C:$C,MATCH($A68,'Smelter Look-up'!$E:$E,0)))</f>
        <v/>
      </c>
      <c r="D68" s="222"/>
      <c r="E68" s="175" t="str">
        <f ca="1">IF(ISERROR($V68),"",OFFSET('Smelter Look-up'!$D$4,$V68-4,0)&amp;"")</f>
        <v/>
      </c>
      <c r="F68" s="175" t="str">
        <f ca="1">IF(ISERROR($V68),"",OFFSET('Smelter Look-up'!$E$4,$V68-4,0))</f>
        <v/>
      </c>
      <c r="G68" s="175" t="str">
        <f ca="1">IF(C68=$X$4,IF(ISERROR($V68),"Enter smelter details","RMI"),IF(ISERROR($V68),"",OFFSET('Smelter Look-up'!$F$4,$V68-4,0)))</f>
        <v/>
      </c>
      <c r="H68" s="176" t="str">
        <f ca="1">IF(ISERROR($V68),"",OFFSET('Smelter Look-up'!$G$4,$V68-4,0))</f>
        <v/>
      </c>
      <c r="I68" s="177" t="str">
        <f ca="1">IF(ISERROR($V68),"",OFFSET('Smelter Look-up'!$H$4,$V68-4,0))</f>
        <v/>
      </c>
      <c r="J68" s="177" t="str">
        <f ca="1">IF(ISERROR($V68),"",OFFSET('Smelter Look-up'!$I$4,$V68-4,0))</f>
        <v/>
      </c>
      <c r="K68" s="216"/>
      <c r="L68" s="216"/>
      <c r="M68" s="216"/>
      <c r="N68" s="216"/>
      <c r="O68" s="216"/>
      <c r="P68" s="178"/>
      <c r="Q68" s="217"/>
      <c r="R68" s="175" t="str">
        <f ca="1">IF(ISERROR($V68),"",OFFSET('Smelter Look-up'!$C$4,$V68-4,0)&amp;"")</f>
        <v/>
      </c>
      <c r="S68" s="174" t="str">
        <f t="shared" ca="1" si="6"/>
        <v/>
      </c>
      <c r="T68" s="174" t="str">
        <f ca="1">IF(B68="","",IF(ISERROR(MATCH($J68,SorP!$B$1:$B$6279,0)),"",INDIRECT("'SorP'!$A$"&amp;MATCH($S68&amp;$J68,SorP!C:C,0))))</f>
        <v/>
      </c>
      <c r="U68" s="194"/>
      <c r="V68" s="218" t="e">
        <f>IF(C68="",NA(),IF(OR(C68="Smelter not listed",C68="Smelter not yet identified"),MATCH($B68&amp;$D68,'Smelter Look-up'!$J:$J,0),MATCH($B68&amp;$C68,'Smelter Look-up'!$J:$J,0)))</f>
        <v>#N/A</v>
      </c>
      <c r="X68" s="219">
        <f t="shared" ca="1" si="7"/>
        <v>0</v>
      </c>
      <c r="AB68" s="220" t="str">
        <f t="shared" si="8"/>
        <v/>
      </c>
    </row>
    <row r="69" spans="1:28" s="219" customFormat="1" ht="20.25">
      <c r="A69" s="174"/>
      <c r="B69" s="175" t="str">
        <f>IF(LEN(A69)=0,"",INDEX('Smelter Look-up'!$A:$A,MATCH($A69,'Smelter Look-up'!$E:$E,0)))</f>
        <v/>
      </c>
      <c r="C69" s="179" t="str">
        <f>IF(LEN(A69)=0,"",INDEX('Smelter Look-up'!$C:$C,MATCH($A69,'Smelter Look-up'!$E:$E,0)))</f>
        <v/>
      </c>
      <c r="D69" s="222"/>
      <c r="E69" s="175" t="str">
        <f ca="1">IF(ISERROR($V69),"",OFFSET('Smelter Look-up'!$D$4,$V69-4,0)&amp;"")</f>
        <v/>
      </c>
      <c r="F69" s="175" t="str">
        <f ca="1">IF(ISERROR($V69),"",OFFSET('Smelter Look-up'!$E$4,$V69-4,0))</f>
        <v/>
      </c>
      <c r="G69" s="175" t="str">
        <f ca="1">IF(C69=$X$4,IF(ISERROR($V69),"Enter smelter details","RMI"),IF(ISERROR($V69),"",OFFSET('Smelter Look-up'!$F$4,$V69-4,0)))</f>
        <v/>
      </c>
      <c r="H69" s="176" t="str">
        <f ca="1">IF(ISERROR($V69),"",OFFSET('Smelter Look-up'!$G$4,$V69-4,0))</f>
        <v/>
      </c>
      <c r="I69" s="177" t="str">
        <f ca="1">IF(ISERROR($V69),"",OFFSET('Smelter Look-up'!$H$4,$V69-4,0))</f>
        <v/>
      </c>
      <c r="J69" s="177" t="str">
        <f ca="1">IF(ISERROR($V69),"",OFFSET('Smelter Look-up'!$I$4,$V69-4,0))</f>
        <v/>
      </c>
      <c r="K69" s="216"/>
      <c r="L69" s="216"/>
      <c r="M69" s="216"/>
      <c r="N69" s="216"/>
      <c r="O69" s="216"/>
      <c r="P69" s="178"/>
      <c r="Q69" s="217"/>
      <c r="R69" s="175" t="str">
        <f ca="1">IF(ISERROR($V69),"",OFFSET('Smelter Look-up'!$C$4,$V69-4,0)&amp;"")</f>
        <v/>
      </c>
      <c r="S69" s="174" t="str">
        <f t="shared" ref="S69" ca="1" si="9">IF(B69="","",IF(ISERROR(MATCH($E69,CL,0)),"Unknown",INDIRECT("'C'!$A$"&amp;MATCH($E69,CL,0)+1)))</f>
        <v/>
      </c>
      <c r="T69" s="174" t="str">
        <f ca="1">IF(B69="","",IF(ISERROR(MATCH($J69,SorP!$B$1:$B$6279,0)),"",INDIRECT("'SorP'!$A$"&amp;MATCH($S69&amp;$J69,SorP!C:C,0))))</f>
        <v/>
      </c>
      <c r="U69" s="194"/>
      <c r="V69" s="218" t="e">
        <f>IF(C69="",NA(),IF(OR(C69="Smelter not listed",C69="Smelter not yet identified"),MATCH($B69&amp;$D69,'Smelter Look-up'!$J:$J,0),MATCH($B69&amp;$C69,'Smelter Look-up'!$J:$J,0)))</f>
        <v>#N/A</v>
      </c>
      <c r="X69" s="219">
        <f t="shared" ref="X69" ca="1" si="10">IF(AND(C69="Smelter not listed",OR(LEN(D69)=0,LEN(E69)=0)),1,0)</f>
        <v>0</v>
      </c>
      <c r="AB69" s="220" t="str">
        <f t="shared" ref="AB69" si="11">B69&amp;C69</f>
        <v/>
      </c>
    </row>
    <row r="70" spans="1:28" s="219" customFormat="1" ht="20.25">
      <c r="A70" s="174"/>
      <c r="B70" s="175" t="str">
        <f>IF(LEN(A70)=0,"",INDEX('Smelter Look-up'!$A:$A,MATCH($A70,'Smelter Look-up'!$E:$E,0)))</f>
        <v/>
      </c>
      <c r="C70" s="179" t="str">
        <f>IF(LEN(A70)=0,"",INDEX('Smelter Look-up'!$C:$C,MATCH($A70,'Smelter Look-up'!$E:$E,0)))</f>
        <v/>
      </c>
      <c r="D70" s="222"/>
      <c r="E70" s="175" t="str">
        <f ca="1">IF(ISERROR($V70),"",OFFSET('Smelter Look-up'!$D$4,$V70-4,0)&amp;"")</f>
        <v/>
      </c>
      <c r="F70" s="175" t="str">
        <f ca="1">IF(ISERROR($V70),"",OFFSET('Smelter Look-up'!$E$4,$V70-4,0))</f>
        <v/>
      </c>
      <c r="G70" s="175" t="str">
        <f ca="1">IF(C70=$X$4,IF(ISERROR($V70),"Enter smelter details","RMI"),IF(ISERROR($V70),"",OFFSET('Smelter Look-up'!$F$4,$V70-4,0)))</f>
        <v/>
      </c>
      <c r="H70" s="176" t="str">
        <f ca="1">IF(ISERROR($V70),"",OFFSET('Smelter Look-up'!$G$4,$V70-4,0))</f>
        <v/>
      </c>
      <c r="I70" s="177" t="str">
        <f ca="1">IF(ISERROR($V70),"",OFFSET('Smelter Look-up'!$H$4,$V70-4,0))</f>
        <v/>
      </c>
      <c r="J70" s="177" t="str">
        <f ca="1">IF(ISERROR($V70),"",OFFSET('Smelter Look-up'!$I$4,$V70-4,0))</f>
        <v/>
      </c>
      <c r="K70" s="216"/>
      <c r="L70" s="216"/>
      <c r="M70" s="216"/>
      <c r="N70" s="216"/>
      <c r="O70" s="216"/>
      <c r="P70" s="178"/>
      <c r="Q70" s="217"/>
      <c r="R70" s="175" t="str">
        <f ca="1">IF(ISERROR($V70),"",OFFSET('Smelter Look-up'!$C$4,$V70-4,0)&amp;"")</f>
        <v/>
      </c>
      <c r="S70" s="174" t="str">
        <f t="shared" ref="S70:S101" ca="1" si="12">IF(B70="","",IF(ISERROR(MATCH($E70,CL,0)),"Unknown",INDIRECT("'C'!$A$"&amp;MATCH($E70,CL,0)+1)))</f>
        <v/>
      </c>
      <c r="T70" s="174" t="str">
        <f ca="1">IF(B70="","",IF(ISERROR(MATCH($J70,SorP!$B$1:$B$6279,0)),"",INDIRECT("'SorP'!$A$"&amp;MATCH($S70&amp;$J70,SorP!C:C,0))))</f>
        <v/>
      </c>
      <c r="U70" s="194"/>
      <c r="V70" s="218" t="e">
        <f>IF(C70="",NA(),IF(OR(C70="Smelter not listed",C70="Smelter not yet identified"),MATCH($B70&amp;$D70,'Smelter Look-up'!$J:$J,0),MATCH($B70&amp;$C70,'Smelter Look-up'!$J:$J,0)))</f>
        <v>#N/A</v>
      </c>
      <c r="X70" s="219">
        <f t="shared" ref="X70:X101" ca="1" si="13">IF(AND(C70="Smelter not listed",OR(LEN(D70)=0,LEN(E70)=0)),1,0)</f>
        <v>0</v>
      </c>
      <c r="AB70" s="220" t="str">
        <f t="shared" ref="AB70:AB101" si="14">B70&amp;C70</f>
        <v/>
      </c>
    </row>
    <row r="71" spans="1:28" s="219" customFormat="1" ht="20.25">
      <c r="A71" s="174"/>
      <c r="B71" s="175" t="str">
        <f>IF(LEN(A71)=0,"",INDEX('Smelter Look-up'!$A:$A,MATCH($A71,'Smelter Look-up'!$E:$E,0)))</f>
        <v/>
      </c>
      <c r="C71" s="179" t="str">
        <f>IF(LEN(A71)=0,"",INDEX('Smelter Look-up'!$C:$C,MATCH($A71,'Smelter Look-up'!$E:$E,0)))</f>
        <v/>
      </c>
      <c r="D71" s="222"/>
      <c r="E71" s="175" t="str">
        <f ca="1">IF(ISERROR($V71),"",OFFSET('Smelter Look-up'!$D$4,$V71-4,0)&amp;"")</f>
        <v/>
      </c>
      <c r="F71" s="175" t="str">
        <f ca="1">IF(ISERROR($V71),"",OFFSET('Smelter Look-up'!$E$4,$V71-4,0))</f>
        <v/>
      </c>
      <c r="G71" s="175" t="str">
        <f ca="1">IF(C71=$X$4,IF(ISERROR($V71),"Enter smelter details","RMI"),IF(ISERROR($V71),"",OFFSET('Smelter Look-up'!$F$4,$V71-4,0)))</f>
        <v/>
      </c>
      <c r="H71" s="176" t="str">
        <f ca="1">IF(ISERROR($V71),"",OFFSET('Smelter Look-up'!$G$4,$V71-4,0))</f>
        <v/>
      </c>
      <c r="I71" s="177" t="str">
        <f ca="1">IF(ISERROR($V71),"",OFFSET('Smelter Look-up'!$H$4,$V71-4,0))</f>
        <v/>
      </c>
      <c r="J71" s="177" t="str">
        <f ca="1">IF(ISERROR($V71),"",OFFSET('Smelter Look-up'!$I$4,$V71-4,0))</f>
        <v/>
      </c>
      <c r="K71" s="216"/>
      <c r="L71" s="216"/>
      <c r="M71" s="216"/>
      <c r="N71" s="216"/>
      <c r="O71" s="216"/>
      <c r="P71" s="178"/>
      <c r="Q71" s="217"/>
      <c r="R71" s="175" t="str">
        <f ca="1">IF(ISERROR($V71),"",OFFSET('Smelter Look-up'!$C$4,$V71-4,0)&amp;"")</f>
        <v/>
      </c>
      <c r="S71" s="174" t="str">
        <f t="shared" ca="1" si="12"/>
        <v/>
      </c>
      <c r="T71" s="174" t="str">
        <f ca="1">IF(B71="","",IF(ISERROR(MATCH($J71,SorP!$B$1:$B$6279,0)),"",INDIRECT("'SorP'!$A$"&amp;MATCH($S71&amp;$J71,SorP!C:C,0))))</f>
        <v/>
      </c>
      <c r="U71" s="194"/>
      <c r="V71" s="218" t="e">
        <f>IF(C71="",NA(),IF(OR(C71="Smelter not listed",C71="Smelter not yet identified"),MATCH($B71&amp;$D71,'Smelter Look-up'!$J:$J,0),MATCH($B71&amp;$C71,'Smelter Look-up'!$J:$J,0)))</f>
        <v>#N/A</v>
      </c>
      <c r="X71" s="219">
        <f t="shared" ca="1" si="13"/>
        <v>0</v>
      </c>
      <c r="AB71" s="220" t="str">
        <f t="shared" si="14"/>
        <v/>
      </c>
    </row>
    <row r="72" spans="1:28" s="219" customFormat="1" ht="20.25">
      <c r="A72" s="174"/>
      <c r="B72" s="175" t="str">
        <f>IF(LEN(A72)=0,"",INDEX('Smelter Look-up'!$A:$A,MATCH($A72,'Smelter Look-up'!$E:$E,0)))</f>
        <v/>
      </c>
      <c r="C72" s="179" t="str">
        <f>IF(LEN(A72)=0,"",INDEX('Smelter Look-up'!$C:$C,MATCH($A72,'Smelter Look-up'!$E:$E,0)))</f>
        <v/>
      </c>
      <c r="D72" s="222"/>
      <c r="E72" s="175" t="str">
        <f ca="1">IF(ISERROR($V72),"",OFFSET('Smelter Look-up'!$D$4,$V72-4,0)&amp;"")</f>
        <v/>
      </c>
      <c r="F72" s="175" t="str">
        <f ca="1">IF(ISERROR($V72),"",OFFSET('Smelter Look-up'!$E$4,$V72-4,0))</f>
        <v/>
      </c>
      <c r="G72" s="175" t="str">
        <f ca="1">IF(C72=$X$4,IF(ISERROR($V72),"Enter smelter details","RMI"),IF(ISERROR($V72),"",OFFSET('Smelter Look-up'!$F$4,$V72-4,0)))</f>
        <v/>
      </c>
      <c r="H72" s="176" t="str">
        <f ca="1">IF(ISERROR($V72),"",OFFSET('Smelter Look-up'!$G$4,$V72-4,0))</f>
        <v/>
      </c>
      <c r="I72" s="177" t="str">
        <f ca="1">IF(ISERROR($V72),"",OFFSET('Smelter Look-up'!$H$4,$V72-4,0))</f>
        <v/>
      </c>
      <c r="J72" s="177" t="str">
        <f ca="1">IF(ISERROR($V72),"",OFFSET('Smelter Look-up'!$I$4,$V72-4,0))</f>
        <v/>
      </c>
      <c r="K72" s="216"/>
      <c r="L72" s="216"/>
      <c r="M72" s="216"/>
      <c r="N72" s="216"/>
      <c r="O72" s="216"/>
      <c r="P72" s="178"/>
      <c r="Q72" s="217"/>
      <c r="R72" s="175" t="str">
        <f ca="1">IF(ISERROR($V72),"",OFFSET('Smelter Look-up'!$C$4,$V72-4,0)&amp;"")</f>
        <v/>
      </c>
      <c r="S72" s="174" t="str">
        <f t="shared" ca="1" si="12"/>
        <v/>
      </c>
      <c r="T72" s="174" t="str">
        <f ca="1">IF(B72="","",IF(ISERROR(MATCH($J72,SorP!$B$1:$B$6279,0)),"",INDIRECT("'SorP'!$A$"&amp;MATCH($S72&amp;$J72,SorP!C:C,0))))</f>
        <v/>
      </c>
      <c r="U72" s="194"/>
      <c r="V72" s="218" t="e">
        <f>IF(C72="",NA(),IF(OR(C72="Smelter not listed",C72="Smelter not yet identified"),MATCH($B72&amp;$D72,'Smelter Look-up'!$J:$J,0),MATCH($B72&amp;$C72,'Smelter Look-up'!$J:$J,0)))</f>
        <v>#N/A</v>
      </c>
      <c r="X72" s="219">
        <f t="shared" ca="1" si="13"/>
        <v>0</v>
      </c>
      <c r="AB72" s="220" t="str">
        <f t="shared" si="14"/>
        <v/>
      </c>
    </row>
    <row r="73" spans="1:28" s="219" customFormat="1" ht="20.25">
      <c r="A73" s="174"/>
      <c r="B73" s="175" t="str">
        <f>IF(LEN(A73)=0,"",INDEX('Smelter Look-up'!$A:$A,MATCH($A73,'Smelter Look-up'!$E:$E,0)))</f>
        <v/>
      </c>
      <c r="C73" s="179" t="str">
        <f>IF(LEN(A73)=0,"",INDEX('Smelter Look-up'!$C:$C,MATCH($A73,'Smelter Look-up'!$E:$E,0)))</f>
        <v/>
      </c>
      <c r="D73" s="222"/>
      <c r="E73" s="175" t="str">
        <f ca="1">IF(ISERROR($V73),"",OFFSET('Smelter Look-up'!$D$4,$V73-4,0)&amp;"")</f>
        <v/>
      </c>
      <c r="F73" s="175" t="str">
        <f ca="1">IF(ISERROR($V73),"",OFFSET('Smelter Look-up'!$E$4,$V73-4,0))</f>
        <v/>
      </c>
      <c r="G73" s="175" t="str">
        <f ca="1">IF(C73=$X$4,IF(ISERROR($V73),"Enter smelter details","RMI"),IF(ISERROR($V73),"",OFFSET('Smelter Look-up'!$F$4,$V73-4,0)))</f>
        <v/>
      </c>
      <c r="H73" s="176" t="str">
        <f ca="1">IF(ISERROR($V73),"",OFFSET('Smelter Look-up'!$G$4,$V73-4,0))</f>
        <v/>
      </c>
      <c r="I73" s="177" t="str">
        <f ca="1">IF(ISERROR($V73),"",OFFSET('Smelter Look-up'!$H$4,$V73-4,0))</f>
        <v/>
      </c>
      <c r="J73" s="177" t="str">
        <f ca="1">IF(ISERROR($V73),"",OFFSET('Smelter Look-up'!$I$4,$V73-4,0))</f>
        <v/>
      </c>
      <c r="K73" s="216"/>
      <c r="L73" s="216"/>
      <c r="M73" s="216"/>
      <c r="N73" s="216"/>
      <c r="O73" s="216"/>
      <c r="P73" s="178"/>
      <c r="Q73" s="217"/>
      <c r="R73" s="175" t="str">
        <f ca="1">IF(ISERROR($V73),"",OFFSET('Smelter Look-up'!$C$4,$V73-4,0)&amp;"")</f>
        <v/>
      </c>
      <c r="S73" s="174" t="str">
        <f t="shared" ca="1" si="12"/>
        <v/>
      </c>
      <c r="T73" s="174" t="str">
        <f ca="1">IF(B73="","",IF(ISERROR(MATCH($J73,SorP!$B$1:$B$6279,0)),"",INDIRECT("'SorP'!$A$"&amp;MATCH($S73&amp;$J73,SorP!C:C,0))))</f>
        <v/>
      </c>
      <c r="U73" s="194"/>
      <c r="V73" s="218" t="e">
        <f>IF(C73="",NA(),IF(OR(C73="Smelter not listed",C73="Smelter not yet identified"),MATCH($B73&amp;$D73,'Smelter Look-up'!$J:$J,0),MATCH($B73&amp;$C73,'Smelter Look-up'!$J:$J,0)))</f>
        <v>#N/A</v>
      </c>
      <c r="X73" s="219">
        <f t="shared" ca="1" si="13"/>
        <v>0</v>
      </c>
      <c r="AB73" s="220" t="str">
        <f t="shared" si="14"/>
        <v/>
      </c>
    </row>
    <row r="74" spans="1:28" s="219" customFormat="1" ht="20.25">
      <c r="A74" s="174"/>
      <c r="B74" s="175" t="str">
        <f>IF(LEN(A74)=0,"",INDEX('Smelter Look-up'!$A:$A,MATCH($A74,'Smelter Look-up'!$E:$E,0)))</f>
        <v/>
      </c>
      <c r="C74" s="179" t="str">
        <f>IF(LEN(A74)=0,"",INDEX('Smelter Look-up'!$C:$C,MATCH($A74,'Smelter Look-up'!$E:$E,0)))</f>
        <v/>
      </c>
      <c r="D74" s="222"/>
      <c r="E74" s="175" t="str">
        <f ca="1">IF(ISERROR($V74),"",OFFSET('Smelter Look-up'!$D$4,$V74-4,0)&amp;"")</f>
        <v/>
      </c>
      <c r="F74" s="175" t="str">
        <f ca="1">IF(ISERROR($V74),"",OFFSET('Smelter Look-up'!$E$4,$V74-4,0))</f>
        <v/>
      </c>
      <c r="G74" s="175" t="str">
        <f ca="1">IF(C74=$X$4,IF(ISERROR($V74),"Enter smelter details","RMI"),IF(ISERROR($V74),"",OFFSET('Smelter Look-up'!$F$4,$V74-4,0)))</f>
        <v/>
      </c>
      <c r="H74" s="176" t="str">
        <f ca="1">IF(ISERROR($V74),"",OFFSET('Smelter Look-up'!$G$4,$V74-4,0))</f>
        <v/>
      </c>
      <c r="I74" s="177" t="str">
        <f ca="1">IF(ISERROR($V74),"",OFFSET('Smelter Look-up'!$H$4,$V74-4,0))</f>
        <v/>
      </c>
      <c r="J74" s="177" t="str">
        <f ca="1">IF(ISERROR($V74),"",OFFSET('Smelter Look-up'!$I$4,$V74-4,0))</f>
        <v/>
      </c>
      <c r="K74" s="216"/>
      <c r="L74" s="216"/>
      <c r="M74" s="216"/>
      <c r="N74" s="216"/>
      <c r="O74" s="216"/>
      <c r="P74" s="178"/>
      <c r="Q74" s="217"/>
      <c r="R74" s="175" t="str">
        <f ca="1">IF(ISERROR($V74),"",OFFSET('Smelter Look-up'!$C$4,$V74-4,0)&amp;"")</f>
        <v/>
      </c>
      <c r="S74" s="174" t="str">
        <f t="shared" ca="1" si="12"/>
        <v/>
      </c>
      <c r="T74" s="174" t="str">
        <f ca="1">IF(B74="","",IF(ISERROR(MATCH($J74,SorP!$B$1:$B$6279,0)),"",INDIRECT("'SorP'!$A$"&amp;MATCH($S74&amp;$J74,SorP!C:C,0))))</f>
        <v/>
      </c>
      <c r="U74" s="194"/>
      <c r="V74" s="218" t="e">
        <f>IF(C74="",NA(),IF(OR(C74="Smelter not listed",C74="Smelter not yet identified"),MATCH($B74&amp;$D74,'Smelter Look-up'!$J:$J,0),MATCH($B74&amp;$C74,'Smelter Look-up'!$J:$J,0)))</f>
        <v>#N/A</v>
      </c>
      <c r="X74" s="219">
        <f t="shared" ca="1" si="13"/>
        <v>0</v>
      </c>
      <c r="AB74" s="220" t="str">
        <f t="shared" si="14"/>
        <v/>
      </c>
    </row>
    <row r="75" spans="1:28" s="219" customFormat="1" ht="20.25">
      <c r="A75" s="174"/>
      <c r="B75" s="175" t="str">
        <f>IF(LEN(A75)=0,"",INDEX('Smelter Look-up'!$A:$A,MATCH($A75,'Smelter Look-up'!$E:$E,0)))</f>
        <v/>
      </c>
      <c r="C75" s="179" t="str">
        <f>IF(LEN(A75)=0,"",INDEX('Smelter Look-up'!$C:$C,MATCH($A75,'Smelter Look-up'!$E:$E,0)))</f>
        <v/>
      </c>
      <c r="D75" s="222"/>
      <c r="E75" s="175" t="str">
        <f ca="1">IF(ISERROR($V75),"",OFFSET('Smelter Look-up'!$D$4,$V75-4,0)&amp;"")</f>
        <v/>
      </c>
      <c r="F75" s="175" t="str">
        <f ca="1">IF(ISERROR($V75),"",OFFSET('Smelter Look-up'!$E$4,$V75-4,0))</f>
        <v/>
      </c>
      <c r="G75" s="175" t="str">
        <f ca="1">IF(C75=$X$4,IF(ISERROR($V75),"Enter smelter details","RMI"),IF(ISERROR($V75),"",OFFSET('Smelter Look-up'!$F$4,$V75-4,0)))</f>
        <v/>
      </c>
      <c r="H75" s="176" t="str">
        <f ca="1">IF(ISERROR($V75),"",OFFSET('Smelter Look-up'!$G$4,$V75-4,0))</f>
        <v/>
      </c>
      <c r="I75" s="177" t="str">
        <f ca="1">IF(ISERROR($V75),"",OFFSET('Smelter Look-up'!$H$4,$V75-4,0))</f>
        <v/>
      </c>
      <c r="J75" s="177" t="str">
        <f ca="1">IF(ISERROR($V75),"",OFFSET('Smelter Look-up'!$I$4,$V75-4,0))</f>
        <v/>
      </c>
      <c r="K75" s="216"/>
      <c r="L75" s="216"/>
      <c r="M75" s="216"/>
      <c r="N75" s="216"/>
      <c r="O75" s="216"/>
      <c r="P75" s="178"/>
      <c r="Q75" s="217"/>
      <c r="R75" s="175" t="str">
        <f ca="1">IF(ISERROR($V75),"",OFFSET('Smelter Look-up'!$C$4,$V75-4,0)&amp;"")</f>
        <v/>
      </c>
      <c r="S75" s="174" t="str">
        <f t="shared" ca="1" si="12"/>
        <v/>
      </c>
      <c r="T75" s="174" t="str">
        <f ca="1">IF(B75="","",IF(ISERROR(MATCH($J75,SorP!$B$1:$B$6279,0)),"",INDIRECT("'SorP'!$A$"&amp;MATCH($S75&amp;$J75,SorP!C:C,0))))</f>
        <v/>
      </c>
      <c r="U75" s="194"/>
      <c r="V75" s="218" t="e">
        <f>IF(C75="",NA(),IF(OR(C75="Smelter not listed",C75="Smelter not yet identified"),MATCH($B75&amp;$D75,'Smelter Look-up'!$J:$J,0),MATCH($B75&amp;$C75,'Smelter Look-up'!$J:$J,0)))</f>
        <v>#N/A</v>
      </c>
      <c r="X75" s="219">
        <f t="shared" ca="1" si="13"/>
        <v>0</v>
      </c>
      <c r="AB75" s="220" t="str">
        <f t="shared" si="14"/>
        <v/>
      </c>
    </row>
    <row r="76" spans="1:28" s="219" customFormat="1" ht="20.25">
      <c r="A76" s="174"/>
      <c r="B76" s="175" t="str">
        <f>IF(LEN(A76)=0,"",INDEX('Smelter Look-up'!$A:$A,MATCH($A76,'Smelter Look-up'!$E:$E,0)))</f>
        <v/>
      </c>
      <c r="C76" s="179" t="str">
        <f>IF(LEN(A76)=0,"",INDEX('Smelter Look-up'!$C:$C,MATCH($A76,'Smelter Look-up'!$E:$E,0)))</f>
        <v/>
      </c>
      <c r="D76" s="222"/>
      <c r="E76" s="175" t="str">
        <f ca="1">IF(ISERROR($V76),"",OFFSET('Smelter Look-up'!$D$4,$V76-4,0)&amp;"")</f>
        <v/>
      </c>
      <c r="F76" s="175" t="str">
        <f ca="1">IF(ISERROR($V76),"",OFFSET('Smelter Look-up'!$E$4,$V76-4,0))</f>
        <v/>
      </c>
      <c r="G76" s="175" t="str">
        <f ca="1">IF(C76=$X$4,IF(ISERROR($V76),"Enter smelter details","RMI"),IF(ISERROR($V76),"",OFFSET('Smelter Look-up'!$F$4,$V76-4,0)))</f>
        <v/>
      </c>
      <c r="H76" s="176" t="str">
        <f ca="1">IF(ISERROR($V76),"",OFFSET('Smelter Look-up'!$G$4,$V76-4,0))</f>
        <v/>
      </c>
      <c r="I76" s="177" t="str">
        <f ca="1">IF(ISERROR($V76),"",OFFSET('Smelter Look-up'!$H$4,$V76-4,0))</f>
        <v/>
      </c>
      <c r="J76" s="177" t="str">
        <f ca="1">IF(ISERROR($V76),"",OFFSET('Smelter Look-up'!$I$4,$V76-4,0))</f>
        <v/>
      </c>
      <c r="K76" s="216"/>
      <c r="L76" s="216"/>
      <c r="M76" s="216"/>
      <c r="N76" s="216"/>
      <c r="O76" s="216"/>
      <c r="P76" s="178"/>
      <c r="Q76" s="217"/>
      <c r="R76" s="175" t="str">
        <f ca="1">IF(ISERROR($V76),"",OFFSET('Smelter Look-up'!$C$4,$V76-4,0)&amp;"")</f>
        <v/>
      </c>
      <c r="S76" s="174" t="str">
        <f t="shared" ca="1" si="12"/>
        <v/>
      </c>
      <c r="T76" s="174" t="str">
        <f ca="1">IF(B76="","",IF(ISERROR(MATCH($J76,SorP!$B$1:$B$6279,0)),"",INDIRECT("'SorP'!$A$"&amp;MATCH($S76&amp;$J76,SorP!C:C,0))))</f>
        <v/>
      </c>
      <c r="U76" s="194"/>
      <c r="V76" s="218" t="e">
        <f>IF(C76="",NA(),IF(OR(C76="Smelter not listed",C76="Smelter not yet identified"),MATCH($B76&amp;$D76,'Smelter Look-up'!$J:$J,0),MATCH($B76&amp;$C76,'Smelter Look-up'!$J:$J,0)))</f>
        <v>#N/A</v>
      </c>
      <c r="X76" s="219">
        <f t="shared" ca="1" si="13"/>
        <v>0</v>
      </c>
      <c r="AB76" s="220" t="str">
        <f t="shared" si="14"/>
        <v/>
      </c>
    </row>
    <row r="77" spans="1:28" s="219" customFormat="1" ht="20.25">
      <c r="A77" s="174"/>
      <c r="B77" s="175" t="str">
        <f>IF(LEN(A77)=0,"",INDEX('Smelter Look-up'!$A:$A,MATCH($A77,'Smelter Look-up'!$E:$E,0)))</f>
        <v/>
      </c>
      <c r="C77" s="179" t="str">
        <f>IF(LEN(A77)=0,"",INDEX('Smelter Look-up'!$C:$C,MATCH($A77,'Smelter Look-up'!$E:$E,0)))</f>
        <v/>
      </c>
      <c r="D77" s="222"/>
      <c r="E77" s="175" t="str">
        <f ca="1">IF(ISERROR($V77),"",OFFSET('Smelter Look-up'!$D$4,$V77-4,0)&amp;"")</f>
        <v/>
      </c>
      <c r="F77" s="175" t="str">
        <f ca="1">IF(ISERROR($V77),"",OFFSET('Smelter Look-up'!$E$4,$V77-4,0))</f>
        <v/>
      </c>
      <c r="G77" s="175" t="str">
        <f ca="1">IF(C77=$X$4,IF(ISERROR($V77),"Enter smelter details","RMI"),IF(ISERROR($V77),"",OFFSET('Smelter Look-up'!$F$4,$V77-4,0)))</f>
        <v/>
      </c>
      <c r="H77" s="176" t="str">
        <f ca="1">IF(ISERROR($V77),"",OFFSET('Smelter Look-up'!$G$4,$V77-4,0))</f>
        <v/>
      </c>
      <c r="I77" s="177" t="str">
        <f ca="1">IF(ISERROR($V77),"",OFFSET('Smelter Look-up'!$H$4,$V77-4,0))</f>
        <v/>
      </c>
      <c r="J77" s="177" t="str">
        <f ca="1">IF(ISERROR($V77),"",OFFSET('Smelter Look-up'!$I$4,$V77-4,0))</f>
        <v/>
      </c>
      <c r="K77" s="216"/>
      <c r="L77" s="216"/>
      <c r="M77" s="216"/>
      <c r="N77" s="216"/>
      <c r="O77" s="216"/>
      <c r="P77" s="178"/>
      <c r="Q77" s="217"/>
      <c r="R77" s="175" t="str">
        <f ca="1">IF(ISERROR($V77),"",OFFSET('Smelter Look-up'!$C$4,$V77-4,0)&amp;"")</f>
        <v/>
      </c>
      <c r="S77" s="174" t="str">
        <f t="shared" ca="1" si="12"/>
        <v/>
      </c>
      <c r="T77" s="174" t="str">
        <f ca="1">IF(B77="","",IF(ISERROR(MATCH($J77,SorP!$B$1:$B$6279,0)),"",INDIRECT("'SorP'!$A$"&amp;MATCH($S77&amp;$J77,SorP!C:C,0))))</f>
        <v/>
      </c>
      <c r="U77" s="194"/>
      <c r="V77" s="218" t="e">
        <f>IF(C77="",NA(),IF(OR(C77="Smelter not listed",C77="Smelter not yet identified"),MATCH($B77&amp;$D77,'Smelter Look-up'!$J:$J,0),MATCH($B77&amp;$C77,'Smelter Look-up'!$J:$J,0)))</f>
        <v>#N/A</v>
      </c>
      <c r="X77" s="219">
        <f t="shared" ca="1" si="13"/>
        <v>0</v>
      </c>
      <c r="AB77" s="220" t="str">
        <f t="shared" si="14"/>
        <v/>
      </c>
    </row>
    <row r="78" spans="1:28" s="219" customFormat="1" ht="20.25">
      <c r="A78" s="174"/>
      <c r="B78" s="175" t="str">
        <f>IF(LEN(A78)=0,"",INDEX('Smelter Look-up'!$A:$A,MATCH($A78,'Smelter Look-up'!$E:$E,0)))</f>
        <v/>
      </c>
      <c r="C78" s="179" t="str">
        <f>IF(LEN(A78)=0,"",INDEX('Smelter Look-up'!$C:$C,MATCH($A78,'Smelter Look-up'!$E:$E,0)))</f>
        <v/>
      </c>
      <c r="D78" s="222"/>
      <c r="E78" s="175" t="str">
        <f ca="1">IF(ISERROR($V78),"",OFFSET('Smelter Look-up'!$D$4,$V78-4,0)&amp;"")</f>
        <v/>
      </c>
      <c r="F78" s="175" t="str">
        <f ca="1">IF(ISERROR($V78),"",OFFSET('Smelter Look-up'!$E$4,$V78-4,0))</f>
        <v/>
      </c>
      <c r="G78" s="175" t="str">
        <f ca="1">IF(C78=$X$4,IF(ISERROR($V78),"Enter smelter details","RMI"),IF(ISERROR($V78),"",OFFSET('Smelter Look-up'!$F$4,$V78-4,0)))</f>
        <v/>
      </c>
      <c r="H78" s="176" t="str">
        <f ca="1">IF(ISERROR($V78),"",OFFSET('Smelter Look-up'!$G$4,$V78-4,0))</f>
        <v/>
      </c>
      <c r="I78" s="177" t="str">
        <f ca="1">IF(ISERROR($V78),"",OFFSET('Smelter Look-up'!$H$4,$V78-4,0))</f>
        <v/>
      </c>
      <c r="J78" s="177" t="str">
        <f ca="1">IF(ISERROR($V78),"",OFFSET('Smelter Look-up'!$I$4,$V78-4,0))</f>
        <v/>
      </c>
      <c r="K78" s="216"/>
      <c r="L78" s="216"/>
      <c r="M78" s="216"/>
      <c r="N78" s="216"/>
      <c r="O78" s="216"/>
      <c r="P78" s="178"/>
      <c r="Q78" s="217"/>
      <c r="R78" s="175" t="str">
        <f ca="1">IF(ISERROR($V78),"",OFFSET('Smelter Look-up'!$C$4,$V78-4,0)&amp;"")</f>
        <v/>
      </c>
      <c r="S78" s="174" t="str">
        <f t="shared" ca="1" si="12"/>
        <v/>
      </c>
      <c r="T78" s="174" t="str">
        <f ca="1">IF(B78="","",IF(ISERROR(MATCH($J78,SorP!$B$1:$B$6279,0)),"",INDIRECT("'SorP'!$A$"&amp;MATCH($S78&amp;$J78,SorP!C:C,0))))</f>
        <v/>
      </c>
      <c r="U78" s="194"/>
      <c r="V78" s="218" t="e">
        <f>IF(C78="",NA(),IF(OR(C78="Smelter not listed",C78="Smelter not yet identified"),MATCH($B78&amp;$D78,'Smelter Look-up'!$J:$J,0),MATCH($B78&amp;$C78,'Smelter Look-up'!$J:$J,0)))</f>
        <v>#N/A</v>
      </c>
      <c r="X78" s="219">
        <f t="shared" ca="1" si="13"/>
        <v>0</v>
      </c>
      <c r="AB78" s="220" t="str">
        <f t="shared" si="14"/>
        <v/>
      </c>
    </row>
    <row r="79" spans="1:28" s="219" customFormat="1" ht="20.25">
      <c r="A79" s="174"/>
      <c r="B79" s="175" t="str">
        <f>IF(LEN(A79)=0,"",INDEX('Smelter Look-up'!$A:$A,MATCH($A79,'Smelter Look-up'!$E:$E,0)))</f>
        <v/>
      </c>
      <c r="C79" s="179" t="str">
        <f>IF(LEN(A79)=0,"",INDEX('Smelter Look-up'!$C:$C,MATCH($A79,'Smelter Look-up'!$E:$E,0)))</f>
        <v/>
      </c>
      <c r="D79" s="222"/>
      <c r="E79" s="175" t="str">
        <f ca="1">IF(ISERROR($V79),"",OFFSET('Smelter Look-up'!$D$4,$V79-4,0)&amp;"")</f>
        <v/>
      </c>
      <c r="F79" s="175" t="str">
        <f ca="1">IF(ISERROR($V79),"",OFFSET('Smelter Look-up'!$E$4,$V79-4,0))</f>
        <v/>
      </c>
      <c r="G79" s="175" t="str">
        <f ca="1">IF(C79=$X$4,IF(ISERROR($V79),"Enter smelter details","RMI"),IF(ISERROR($V79),"",OFFSET('Smelter Look-up'!$F$4,$V79-4,0)))</f>
        <v/>
      </c>
      <c r="H79" s="176" t="str">
        <f ca="1">IF(ISERROR($V79),"",OFFSET('Smelter Look-up'!$G$4,$V79-4,0))</f>
        <v/>
      </c>
      <c r="I79" s="177" t="str">
        <f ca="1">IF(ISERROR($V79),"",OFFSET('Smelter Look-up'!$H$4,$V79-4,0))</f>
        <v/>
      </c>
      <c r="J79" s="177" t="str">
        <f ca="1">IF(ISERROR($V79),"",OFFSET('Smelter Look-up'!$I$4,$V79-4,0))</f>
        <v/>
      </c>
      <c r="K79" s="216"/>
      <c r="L79" s="216"/>
      <c r="M79" s="216"/>
      <c r="N79" s="216"/>
      <c r="O79" s="216"/>
      <c r="P79" s="178"/>
      <c r="Q79" s="217"/>
      <c r="R79" s="175" t="str">
        <f ca="1">IF(ISERROR($V79),"",OFFSET('Smelter Look-up'!$C$4,$V79-4,0)&amp;"")</f>
        <v/>
      </c>
      <c r="S79" s="174" t="str">
        <f t="shared" ca="1" si="12"/>
        <v/>
      </c>
      <c r="T79" s="174" t="str">
        <f ca="1">IF(B79="","",IF(ISERROR(MATCH($J79,SorP!$B$1:$B$6279,0)),"",INDIRECT("'SorP'!$A$"&amp;MATCH($S79&amp;$J79,SorP!C:C,0))))</f>
        <v/>
      </c>
      <c r="U79" s="194"/>
      <c r="V79" s="218" t="e">
        <f>IF(C79="",NA(),IF(OR(C79="Smelter not listed",C79="Smelter not yet identified"),MATCH($B79&amp;$D79,'Smelter Look-up'!$J:$J,0),MATCH($B79&amp;$C79,'Smelter Look-up'!$J:$J,0)))</f>
        <v>#N/A</v>
      </c>
      <c r="X79" s="219">
        <f t="shared" ca="1" si="13"/>
        <v>0</v>
      </c>
      <c r="AB79" s="220" t="str">
        <f t="shared" si="14"/>
        <v/>
      </c>
    </row>
    <row r="80" spans="1:28" s="219" customFormat="1" ht="20.25">
      <c r="A80" s="174"/>
      <c r="B80" s="175" t="str">
        <f>IF(LEN(A80)=0,"",INDEX('Smelter Look-up'!$A:$A,MATCH($A80,'Smelter Look-up'!$E:$E,0)))</f>
        <v/>
      </c>
      <c r="C80" s="179" t="str">
        <f>IF(LEN(A80)=0,"",INDEX('Smelter Look-up'!$C:$C,MATCH($A80,'Smelter Look-up'!$E:$E,0)))</f>
        <v/>
      </c>
      <c r="D80" s="222"/>
      <c r="E80" s="175" t="str">
        <f ca="1">IF(ISERROR($V80),"",OFFSET('Smelter Look-up'!$D$4,$V80-4,0)&amp;"")</f>
        <v/>
      </c>
      <c r="F80" s="175" t="str">
        <f ca="1">IF(ISERROR($V80),"",OFFSET('Smelter Look-up'!$E$4,$V80-4,0))</f>
        <v/>
      </c>
      <c r="G80" s="175" t="str">
        <f ca="1">IF(C80=$X$4,IF(ISERROR($V80),"Enter smelter details","RMI"),IF(ISERROR($V80),"",OFFSET('Smelter Look-up'!$F$4,$V80-4,0)))</f>
        <v/>
      </c>
      <c r="H80" s="176" t="str">
        <f ca="1">IF(ISERROR($V80),"",OFFSET('Smelter Look-up'!$G$4,$V80-4,0))</f>
        <v/>
      </c>
      <c r="I80" s="177" t="str">
        <f ca="1">IF(ISERROR($V80),"",OFFSET('Smelter Look-up'!$H$4,$V80-4,0))</f>
        <v/>
      </c>
      <c r="J80" s="177" t="str">
        <f ca="1">IF(ISERROR($V80),"",OFFSET('Smelter Look-up'!$I$4,$V80-4,0))</f>
        <v/>
      </c>
      <c r="K80" s="216"/>
      <c r="L80" s="216"/>
      <c r="M80" s="216"/>
      <c r="N80" s="216"/>
      <c r="O80" s="216"/>
      <c r="P80" s="178"/>
      <c r="Q80" s="217"/>
      <c r="R80" s="175" t="str">
        <f ca="1">IF(ISERROR($V80),"",OFFSET('Smelter Look-up'!$C$4,$V80-4,0)&amp;"")</f>
        <v/>
      </c>
      <c r="S80" s="174" t="str">
        <f t="shared" ca="1" si="12"/>
        <v/>
      </c>
      <c r="T80" s="174" t="str">
        <f ca="1">IF(B80="","",IF(ISERROR(MATCH($J80,SorP!$B$1:$B$6279,0)),"",INDIRECT("'SorP'!$A$"&amp;MATCH($S80&amp;$J80,SorP!C:C,0))))</f>
        <v/>
      </c>
      <c r="U80" s="194"/>
      <c r="V80" s="218" t="e">
        <f>IF(C80="",NA(),IF(OR(C80="Smelter not listed",C80="Smelter not yet identified"),MATCH($B80&amp;$D80,'Smelter Look-up'!$J:$J,0),MATCH($B80&amp;$C80,'Smelter Look-up'!$J:$J,0)))</f>
        <v>#N/A</v>
      </c>
      <c r="X80" s="219">
        <f t="shared" ca="1" si="13"/>
        <v>0</v>
      </c>
      <c r="AB80" s="220" t="str">
        <f t="shared" si="14"/>
        <v/>
      </c>
    </row>
    <row r="81" spans="1:28" s="219" customFormat="1" ht="20.25">
      <c r="A81" s="174"/>
      <c r="B81" s="175" t="str">
        <f>IF(LEN(A81)=0,"",INDEX('Smelter Look-up'!$A:$A,MATCH($A81,'Smelter Look-up'!$E:$E,0)))</f>
        <v/>
      </c>
      <c r="C81" s="179" t="str">
        <f>IF(LEN(A81)=0,"",INDEX('Smelter Look-up'!$C:$C,MATCH($A81,'Smelter Look-up'!$E:$E,0)))</f>
        <v/>
      </c>
      <c r="D81" s="222"/>
      <c r="E81" s="175" t="str">
        <f ca="1">IF(ISERROR($V81),"",OFFSET('Smelter Look-up'!$D$4,$V81-4,0)&amp;"")</f>
        <v/>
      </c>
      <c r="F81" s="175" t="str">
        <f ca="1">IF(ISERROR($V81),"",OFFSET('Smelter Look-up'!$E$4,$V81-4,0))</f>
        <v/>
      </c>
      <c r="G81" s="175" t="str">
        <f ca="1">IF(C81=$X$4,IF(ISERROR($V81),"Enter smelter details","RMI"),IF(ISERROR($V81),"",OFFSET('Smelter Look-up'!$F$4,$V81-4,0)))</f>
        <v/>
      </c>
      <c r="H81" s="176" t="str">
        <f ca="1">IF(ISERROR($V81),"",OFFSET('Smelter Look-up'!$G$4,$V81-4,0))</f>
        <v/>
      </c>
      <c r="I81" s="177" t="str">
        <f ca="1">IF(ISERROR($V81),"",OFFSET('Smelter Look-up'!$H$4,$V81-4,0))</f>
        <v/>
      </c>
      <c r="J81" s="177" t="str">
        <f ca="1">IF(ISERROR($V81),"",OFFSET('Smelter Look-up'!$I$4,$V81-4,0))</f>
        <v/>
      </c>
      <c r="K81" s="216"/>
      <c r="L81" s="216"/>
      <c r="M81" s="216"/>
      <c r="N81" s="216"/>
      <c r="O81" s="216"/>
      <c r="P81" s="178"/>
      <c r="Q81" s="217"/>
      <c r="R81" s="175" t="str">
        <f ca="1">IF(ISERROR($V81),"",OFFSET('Smelter Look-up'!$C$4,$V81-4,0)&amp;"")</f>
        <v/>
      </c>
      <c r="S81" s="174" t="str">
        <f t="shared" ca="1" si="12"/>
        <v/>
      </c>
      <c r="T81" s="174" t="str">
        <f ca="1">IF(B81="","",IF(ISERROR(MATCH($J81,SorP!$B$1:$B$6279,0)),"",INDIRECT("'SorP'!$A$"&amp;MATCH($S81&amp;$J81,SorP!C:C,0))))</f>
        <v/>
      </c>
      <c r="U81" s="194"/>
      <c r="V81" s="218" t="e">
        <f>IF(C81="",NA(),IF(OR(C81="Smelter not listed",C81="Smelter not yet identified"),MATCH($B81&amp;$D81,'Smelter Look-up'!$J:$J,0),MATCH($B81&amp;$C81,'Smelter Look-up'!$J:$J,0)))</f>
        <v>#N/A</v>
      </c>
      <c r="X81" s="219">
        <f t="shared" ca="1" si="13"/>
        <v>0</v>
      </c>
      <c r="AB81" s="220" t="str">
        <f t="shared" si="14"/>
        <v/>
      </c>
    </row>
    <row r="82" spans="1:28" s="219" customFormat="1" ht="20.25">
      <c r="A82" s="174"/>
      <c r="B82" s="175" t="str">
        <f>IF(LEN(A82)=0,"",INDEX('Smelter Look-up'!$A:$A,MATCH($A82,'Smelter Look-up'!$E:$E,0)))</f>
        <v/>
      </c>
      <c r="C82" s="179" t="str">
        <f>IF(LEN(A82)=0,"",INDEX('Smelter Look-up'!$C:$C,MATCH($A82,'Smelter Look-up'!$E:$E,0)))</f>
        <v/>
      </c>
      <c r="D82" s="222"/>
      <c r="E82" s="175" t="str">
        <f ca="1">IF(ISERROR($V82),"",OFFSET('Smelter Look-up'!$D$4,$V82-4,0)&amp;"")</f>
        <v/>
      </c>
      <c r="F82" s="175" t="str">
        <f ca="1">IF(ISERROR($V82),"",OFFSET('Smelter Look-up'!$E$4,$V82-4,0))</f>
        <v/>
      </c>
      <c r="G82" s="175" t="str">
        <f ca="1">IF(C82=$X$4,IF(ISERROR($V82),"Enter smelter details","RMI"),IF(ISERROR($V82),"",OFFSET('Smelter Look-up'!$F$4,$V82-4,0)))</f>
        <v/>
      </c>
      <c r="H82" s="176" t="str">
        <f ca="1">IF(ISERROR($V82),"",OFFSET('Smelter Look-up'!$G$4,$V82-4,0))</f>
        <v/>
      </c>
      <c r="I82" s="177" t="str">
        <f ca="1">IF(ISERROR($V82),"",OFFSET('Smelter Look-up'!$H$4,$V82-4,0))</f>
        <v/>
      </c>
      <c r="J82" s="177" t="str">
        <f ca="1">IF(ISERROR($V82),"",OFFSET('Smelter Look-up'!$I$4,$V82-4,0))</f>
        <v/>
      </c>
      <c r="K82" s="216"/>
      <c r="L82" s="216"/>
      <c r="M82" s="216"/>
      <c r="N82" s="216"/>
      <c r="O82" s="216"/>
      <c r="P82" s="178"/>
      <c r="Q82" s="217"/>
      <c r="R82" s="175" t="str">
        <f ca="1">IF(ISERROR($V82),"",OFFSET('Smelter Look-up'!$C$4,$V82-4,0)&amp;"")</f>
        <v/>
      </c>
      <c r="S82" s="174" t="str">
        <f t="shared" ca="1" si="12"/>
        <v/>
      </c>
      <c r="T82" s="174" t="str">
        <f ca="1">IF(B82="","",IF(ISERROR(MATCH($J82,SorP!$B$1:$B$6279,0)),"",INDIRECT("'SorP'!$A$"&amp;MATCH($S82&amp;$J82,SorP!C:C,0))))</f>
        <v/>
      </c>
      <c r="U82" s="194"/>
      <c r="V82" s="218" t="e">
        <f>IF(C82="",NA(),IF(OR(C82="Smelter not listed",C82="Smelter not yet identified"),MATCH($B82&amp;$D82,'Smelter Look-up'!$J:$J,0),MATCH($B82&amp;$C82,'Smelter Look-up'!$J:$J,0)))</f>
        <v>#N/A</v>
      </c>
      <c r="X82" s="219">
        <f t="shared" ca="1" si="13"/>
        <v>0</v>
      </c>
      <c r="AB82" s="220" t="str">
        <f t="shared" si="14"/>
        <v/>
      </c>
    </row>
    <row r="83" spans="1:28" s="219" customFormat="1" ht="20.25">
      <c r="A83" s="174"/>
      <c r="B83" s="175" t="str">
        <f>IF(LEN(A83)=0,"",INDEX('Smelter Look-up'!$A:$A,MATCH($A83,'Smelter Look-up'!$E:$E,0)))</f>
        <v/>
      </c>
      <c r="C83" s="179" t="str">
        <f>IF(LEN(A83)=0,"",INDEX('Smelter Look-up'!$C:$C,MATCH($A83,'Smelter Look-up'!$E:$E,0)))</f>
        <v/>
      </c>
      <c r="D83" s="222"/>
      <c r="E83" s="175" t="str">
        <f ca="1">IF(ISERROR($V83),"",OFFSET('Smelter Look-up'!$D$4,$V83-4,0)&amp;"")</f>
        <v/>
      </c>
      <c r="F83" s="175" t="str">
        <f ca="1">IF(ISERROR($V83),"",OFFSET('Smelter Look-up'!$E$4,$V83-4,0))</f>
        <v/>
      </c>
      <c r="G83" s="175" t="str">
        <f ca="1">IF(C83=$X$4,IF(ISERROR($V83),"Enter smelter details","RMI"),IF(ISERROR($V83),"",OFFSET('Smelter Look-up'!$F$4,$V83-4,0)))</f>
        <v/>
      </c>
      <c r="H83" s="176" t="str">
        <f ca="1">IF(ISERROR($V83),"",OFFSET('Smelter Look-up'!$G$4,$V83-4,0))</f>
        <v/>
      </c>
      <c r="I83" s="177" t="str">
        <f ca="1">IF(ISERROR($V83),"",OFFSET('Smelter Look-up'!$H$4,$V83-4,0))</f>
        <v/>
      </c>
      <c r="J83" s="177" t="str">
        <f ca="1">IF(ISERROR($V83),"",OFFSET('Smelter Look-up'!$I$4,$V83-4,0))</f>
        <v/>
      </c>
      <c r="K83" s="216"/>
      <c r="L83" s="216"/>
      <c r="M83" s="216"/>
      <c r="N83" s="216"/>
      <c r="O83" s="216"/>
      <c r="P83" s="178"/>
      <c r="Q83" s="217"/>
      <c r="R83" s="175" t="str">
        <f ca="1">IF(ISERROR($V83),"",OFFSET('Smelter Look-up'!$C$4,$V83-4,0)&amp;"")</f>
        <v/>
      </c>
      <c r="S83" s="174" t="str">
        <f t="shared" ca="1" si="12"/>
        <v/>
      </c>
      <c r="T83" s="174" t="str">
        <f ca="1">IF(B83="","",IF(ISERROR(MATCH($J83,SorP!$B$1:$B$6279,0)),"",INDIRECT("'SorP'!$A$"&amp;MATCH($S83&amp;$J83,SorP!C:C,0))))</f>
        <v/>
      </c>
      <c r="U83" s="194"/>
      <c r="V83" s="218" t="e">
        <f>IF(C83="",NA(),IF(OR(C83="Smelter not listed",C83="Smelter not yet identified"),MATCH($B83&amp;$D83,'Smelter Look-up'!$J:$J,0),MATCH($B83&amp;$C83,'Smelter Look-up'!$J:$J,0)))</f>
        <v>#N/A</v>
      </c>
      <c r="X83" s="219">
        <f t="shared" ca="1" si="13"/>
        <v>0</v>
      </c>
      <c r="AB83" s="220" t="str">
        <f t="shared" si="14"/>
        <v/>
      </c>
    </row>
    <row r="84" spans="1:28" s="219" customFormat="1" ht="20.25">
      <c r="A84" s="174"/>
      <c r="B84" s="175" t="str">
        <f>IF(LEN(A84)=0,"",INDEX('Smelter Look-up'!$A:$A,MATCH($A84,'Smelter Look-up'!$E:$E,0)))</f>
        <v/>
      </c>
      <c r="C84" s="179" t="str">
        <f>IF(LEN(A84)=0,"",INDEX('Smelter Look-up'!$C:$C,MATCH($A84,'Smelter Look-up'!$E:$E,0)))</f>
        <v/>
      </c>
      <c r="D84" s="222"/>
      <c r="E84" s="175" t="str">
        <f ca="1">IF(ISERROR($V84),"",OFFSET('Smelter Look-up'!$D$4,$V84-4,0)&amp;"")</f>
        <v/>
      </c>
      <c r="F84" s="175" t="str">
        <f ca="1">IF(ISERROR($V84),"",OFFSET('Smelter Look-up'!$E$4,$V84-4,0))</f>
        <v/>
      </c>
      <c r="G84" s="175" t="str">
        <f ca="1">IF(C84=$X$4,IF(ISERROR($V84),"Enter smelter details","RMI"),IF(ISERROR($V84),"",OFFSET('Smelter Look-up'!$F$4,$V84-4,0)))</f>
        <v/>
      </c>
      <c r="H84" s="176" t="str">
        <f ca="1">IF(ISERROR($V84),"",OFFSET('Smelter Look-up'!$G$4,$V84-4,0))</f>
        <v/>
      </c>
      <c r="I84" s="177" t="str">
        <f ca="1">IF(ISERROR($V84),"",OFFSET('Smelter Look-up'!$H$4,$V84-4,0))</f>
        <v/>
      </c>
      <c r="J84" s="177" t="str">
        <f ca="1">IF(ISERROR($V84),"",OFFSET('Smelter Look-up'!$I$4,$V84-4,0))</f>
        <v/>
      </c>
      <c r="K84" s="216"/>
      <c r="L84" s="216"/>
      <c r="M84" s="216"/>
      <c r="N84" s="216"/>
      <c r="O84" s="216"/>
      <c r="P84" s="178"/>
      <c r="Q84" s="217"/>
      <c r="R84" s="175" t="str">
        <f ca="1">IF(ISERROR($V84),"",OFFSET('Smelter Look-up'!$C$4,$V84-4,0)&amp;"")</f>
        <v/>
      </c>
      <c r="S84" s="174" t="str">
        <f t="shared" ca="1" si="12"/>
        <v/>
      </c>
      <c r="T84" s="174" t="str">
        <f ca="1">IF(B84="","",IF(ISERROR(MATCH($J84,SorP!$B$1:$B$6279,0)),"",INDIRECT("'SorP'!$A$"&amp;MATCH($S84&amp;$J84,SorP!C:C,0))))</f>
        <v/>
      </c>
      <c r="U84" s="194"/>
      <c r="V84" s="218" t="e">
        <f>IF(C84="",NA(),IF(OR(C84="Smelter not listed",C84="Smelter not yet identified"),MATCH($B84&amp;$D84,'Smelter Look-up'!$J:$J,0),MATCH($B84&amp;$C84,'Smelter Look-up'!$J:$J,0)))</f>
        <v>#N/A</v>
      </c>
      <c r="X84" s="219">
        <f t="shared" ca="1" si="13"/>
        <v>0</v>
      </c>
      <c r="AB84" s="220" t="str">
        <f t="shared" si="14"/>
        <v/>
      </c>
    </row>
    <row r="85" spans="1:28" s="219" customFormat="1" ht="20.25">
      <c r="A85" s="174"/>
      <c r="B85" s="175" t="str">
        <f>IF(LEN(A85)=0,"",INDEX('Smelter Look-up'!$A:$A,MATCH($A85,'Smelter Look-up'!$E:$E,0)))</f>
        <v/>
      </c>
      <c r="C85" s="179" t="str">
        <f>IF(LEN(A85)=0,"",INDEX('Smelter Look-up'!$C:$C,MATCH($A85,'Smelter Look-up'!$E:$E,0)))</f>
        <v/>
      </c>
      <c r="D85" s="222"/>
      <c r="E85" s="175" t="str">
        <f ca="1">IF(ISERROR($V85),"",OFFSET('Smelter Look-up'!$D$4,$V85-4,0)&amp;"")</f>
        <v/>
      </c>
      <c r="F85" s="175" t="str">
        <f ca="1">IF(ISERROR($V85),"",OFFSET('Smelter Look-up'!$E$4,$V85-4,0))</f>
        <v/>
      </c>
      <c r="G85" s="175" t="str">
        <f ca="1">IF(C85=$X$4,IF(ISERROR($V85),"Enter smelter details","RMI"),IF(ISERROR($V85),"",OFFSET('Smelter Look-up'!$F$4,$V85-4,0)))</f>
        <v/>
      </c>
      <c r="H85" s="176" t="str">
        <f ca="1">IF(ISERROR($V85),"",OFFSET('Smelter Look-up'!$G$4,$V85-4,0))</f>
        <v/>
      </c>
      <c r="I85" s="177" t="str">
        <f ca="1">IF(ISERROR($V85),"",OFFSET('Smelter Look-up'!$H$4,$V85-4,0))</f>
        <v/>
      </c>
      <c r="J85" s="177" t="str">
        <f ca="1">IF(ISERROR($V85),"",OFFSET('Smelter Look-up'!$I$4,$V85-4,0))</f>
        <v/>
      </c>
      <c r="K85" s="216"/>
      <c r="L85" s="216"/>
      <c r="M85" s="216"/>
      <c r="N85" s="216"/>
      <c r="O85" s="216"/>
      <c r="P85" s="178"/>
      <c r="Q85" s="217"/>
      <c r="R85" s="175" t="str">
        <f ca="1">IF(ISERROR($V85),"",OFFSET('Smelter Look-up'!$C$4,$V85-4,0)&amp;"")</f>
        <v/>
      </c>
      <c r="S85" s="174" t="str">
        <f t="shared" ca="1" si="12"/>
        <v/>
      </c>
      <c r="T85" s="174" t="str">
        <f ca="1">IF(B85="","",IF(ISERROR(MATCH($J85,SorP!$B$1:$B$6279,0)),"",INDIRECT("'SorP'!$A$"&amp;MATCH($S85&amp;$J85,SorP!C:C,0))))</f>
        <v/>
      </c>
      <c r="U85" s="194"/>
      <c r="V85" s="218" t="e">
        <f>IF(C85="",NA(),IF(OR(C85="Smelter not listed",C85="Smelter not yet identified"),MATCH($B85&amp;$D85,'Smelter Look-up'!$J:$J,0),MATCH($B85&amp;$C85,'Smelter Look-up'!$J:$J,0)))</f>
        <v>#N/A</v>
      </c>
      <c r="X85" s="219">
        <f t="shared" ca="1" si="13"/>
        <v>0</v>
      </c>
      <c r="AB85" s="220" t="str">
        <f t="shared" si="14"/>
        <v/>
      </c>
    </row>
    <row r="86" spans="1:28" s="219" customFormat="1" ht="20.25">
      <c r="A86" s="174"/>
      <c r="B86" s="175" t="str">
        <f>IF(LEN(A86)=0,"",INDEX('Smelter Look-up'!$A:$A,MATCH($A86,'Smelter Look-up'!$E:$E,0)))</f>
        <v/>
      </c>
      <c r="C86" s="179" t="str">
        <f>IF(LEN(A86)=0,"",INDEX('Smelter Look-up'!$C:$C,MATCH($A86,'Smelter Look-up'!$E:$E,0)))</f>
        <v/>
      </c>
      <c r="D86" s="222"/>
      <c r="E86" s="175" t="str">
        <f ca="1">IF(ISERROR($V86),"",OFFSET('Smelter Look-up'!$D$4,$V86-4,0)&amp;"")</f>
        <v/>
      </c>
      <c r="F86" s="175" t="str">
        <f ca="1">IF(ISERROR($V86),"",OFFSET('Smelter Look-up'!$E$4,$V86-4,0))</f>
        <v/>
      </c>
      <c r="G86" s="175" t="str">
        <f ca="1">IF(C86=$X$4,IF(ISERROR($V86),"Enter smelter details","RMI"),IF(ISERROR($V86),"",OFFSET('Smelter Look-up'!$F$4,$V86-4,0)))</f>
        <v/>
      </c>
      <c r="H86" s="176" t="str">
        <f ca="1">IF(ISERROR($V86),"",OFFSET('Smelter Look-up'!$G$4,$V86-4,0))</f>
        <v/>
      </c>
      <c r="I86" s="177" t="str">
        <f ca="1">IF(ISERROR($V86),"",OFFSET('Smelter Look-up'!$H$4,$V86-4,0))</f>
        <v/>
      </c>
      <c r="J86" s="177" t="str">
        <f ca="1">IF(ISERROR($V86),"",OFFSET('Smelter Look-up'!$I$4,$V86-4,0))</f>
        <v/>
      </c>
      <c r="K86" s="216"/>
      <c r="L86" s="216"/>
      <c r="M86" s="216"/>
      <c r="N86" s="216"/>
      <c r="O86" s="216"/>
      <c r="P86" s="178"/>
      <c r="Q86" s="217"/>
      <c r="R86" s="175" t="str">
        <f ca="1">IF(ISERROR($V86),"",OFFSET('Smelter Look-up'!$C$4,$V86-4,0)&amp;"")</f>
        <v/>
      </c>
      <c r="S86" s="174" t="str">
        <f t="shared" ca="1" si="12"/>
        <v/>
      </c>
      <c r="T86" s="174" t="str">
        <f ca="1">IF(B86="","",IF(ISERROR(MATCH($J86,SorP!$B$1:$B$6279,0)),"",INDIRECT("'SorP'!$A$"&amp;MATCH($S86&amp;$J86,SorP!C:C,0))))</f>
        <v/>
      </c>
      <c r="U86" s="194"/>
      <c r="V86" s="218" t="e">
        <f>IF(C86="",NA(),IF(OR(C86="Smelter not listed",C86="Smelter not yet identified"),MATCH($B86&amp;$D86,'Smelter Look-up'!$J:$J,0),MATCH($B86&amp;$C86,'Smelter Look-up'!$J:$J,0)))</f>
        <v>#N/A</v>
      </c>
      <c r="X86" s="219">
        <f t="shared" ca="1" si="13"/>
        <v>0</v>
      </c>
      <c r="AB86" s="220" t="str">
        <f t="shared" si="14"/>
        <v/>
      </c>
    </row>
    <row r="87" spans="1:28" s="219" customFormat="1" ht="20.25">
      <c r="A87" s="174"/>
      <c r="B87" s="175" t="str">
        <f>IF(LEN(A87)=0,"",INDEX('Smelter Look-up'!$A:$A,MATCH($A87,'Smelter Look-up'!$E:$E,0)))</f>
        <v/>
      </c>
      <c r="C87" s="179" t="str">
        <f>IF(LEN(A87)=0,"",INDEX('Smelter Look-up'!$C:$C,MATCH($A87,'Smelter Look-up'!$E:$E,0)))</f>
        <v/>
      </c>
      <c r="D87" s="222"/>
      <c r="E87" s="175" t="str">
        <f ca="1">IF(ISERROR($V87),"",OFFSET('Smelter Look-up'!$D$4,$V87-4,0)&amp;"")</f>
        <v/>
      </c>
      <c r="F87" s="175" t="str">
        <f ca="1">IF(ISERROR($V87),"",OFFSET('Smelter Look-up'!$E$4,$V87-4,0))</f>
        <v/>
      </c>
      <c r="G87" s="175" t="str">
        <f ca="1">IF(C87=$X$4,IF(ISERROR($V87),"Enter smelter details","RMI"),IF(ISERROR($V87),"",OFFSET('Smelter Look-up'!$F$4,$V87-4,0)))</f>
        <v/>
      </c>
      <c r="H87" s="176" t="str">
        <f ca="1">IF(ISERROR($V87),"",OFFSET('Smelter Look-up'!$G$4,$V87-4,0))</f>
        <v/>
      </c>
      <c r="I87" s="177" t="str">
        <f ca="1">IF(ISERROR($V87),"",OFFSET('Smelter Look-up'!$H$4,$V87-4,0))</f>
        <v/>
      </c>
      <c r="J87" s="177" t="str">
        <f ca="1">IF(ISERROR($V87),"",OFFSET('Smelter Look-up'!$I$4,$V87-4,0))</f>
        <v/>
      </c>
      <c r="K87" s="216"/>
      <c r="L87" s="216"/>
      <c r="M87" s="216"/>
      <c r="N87" s="216"/>
      <c r="O87" s="216"/>
      <c r="P87" s="178"/>
      <c r="Q87" s="217"/>
      <c r="R87" s="175" t="str">
        <f ca="1">IF(ISERROR($V87),"",OFFSET('Smelter Look-up'!$C$4,$V87-4,0)&amp;"")</f>
        <v/>
      </c>
      <c r="S87" s="174" t="str">
        <f t="shared" ca="1" si="12"/>
        <v/>
      </c>
      <c r="T87" s="174" t="str">
        <f ca="1">IF(B87="","",IF(ISERROR(MATCH($J87,SorP!$B$1:$B$6279,0)),"",INDIRECT("'SorP'!$A$"&amp;MATCH($S87&amp;$J87,SorP!C:C,0))))</f>
        <v/>
      </c>
      <c r="U87" s="194"/>
      <c r="V87" s="218" t="e">
        <f>IF(C87="",NA(),IF(OR(C87="Smelter not listed",C87="Smelter not yet identified"),MATCH($B87&amp;$D87,'Smelter Look-up'!$J:$J,0),MATCH($B87&amp;$C87,'Smelter Look-up'!$J:$J,0)))</f>
        <v>#N/A</v>
      </c>
      <c r="X87" s="219">
        <f t="shared" ca="1" si="13"/>
        <v>0</v>
      </c>
      <c r="AB87" s="220" t="str">
        <f t="shared" si="14"/>
        <v/>
      </c>
    </row>
    <row r="88" spans="1:28" s="219" customFormat="1" ht="20.25">
      <c r="A88" s="174"/>
      <c r="B88" s="175" t="str">
        <f>IF(LEN(A88)=0,"",INDEX('Smelter Look-up'!$A:$A,MATCH($A88,'Smelter Look-up'!$E:$E,0)))</f>
        <v/>
      </c>
      <c r="C88" s="179" t="str">
        <f>IF(LEN(A88)=0,"",INDEX('Smelter Look-up'!$C:$C,MATCH($A88,'Smelter Look-up'!$E:$E,0)))</f>
        <v/>
      </c>
      <c r="D88" s="222"/>
      <c r="E88" s="175" t="str">
        <f ca="1">IF(ISERROR($V88),"",OFFSET('Smelter Look-up'!$D$4,$V88-4,0)&amp;"")</f>
        <v/>
      </c>
      <c r="F88" s="175" t="str">
        <f ca="1">IF(ISERROR($V88),"",OFFSET('Smelter Look-up'!$E$4,$V88-4,0))</f>
        <v/>
      </c>
      <c r="G88" s="175" t="str">
        <f ca="1">IF(C88=$X$4,IF(ISERROR($V88),"Enter smelter details","RMI"),IF(ISERROR($V88),"",OFFSET('Smelter Look-up'!$F$4,$V88-4,0)))</f>
        <v/>
      </c>
      <c r="H88" s="176" t="str">
        <f ca="1">IF(ISERROR($V88),"",OFFSET('Smelter Look-up'!$G$4,$V88-4,0))</f>
        <v/>
      </c>
      <c r="I88" s="177" t="str">
        <f ca="1">IF(ISERROR($V88),"",OFFSET('Smelter Look-up'!$H$4,$V88-4,0))</f>
        <v/>
      </c>
      <c r="J88" s="177" t="str">
        <f ca="1">IF(ISERROR($V88),"",OFFSET('Smelter Look-up'!$I$4,$V88-4,0))</f>
        <v/>
      </c>
      <c r="K88" s="216"/>
      <c r="L88" s="216"/>
      <c r="M88" s="216"/>
      <c r="N88" s="216"/>
      <c r="O88" s="216"/>
      <c r="P88" s="178"/>
      <c r="Q88" s="217"/>
      <c r="R88" s="175" t="str">
        <f ca="1">IF(ISERROR($V88),"",OFFSET('Smelter Look-up'!$C$4,$V88-4,0)&amp;"")</f>
        <v/>
      </c>
      <c r="S88" s="174" t="str">
        <f t="shared" ca="1" si="12"/>
        <v/>
      </c>
      <c r="T88" s="174" t="str">
        <f ca="1">IF(B88="","",IF(ISERROR(MATCH($J88,SorP!$B$1:$B$6279,0)),"",INDIRECT("'SorP'!$A$"&amp;MATCH($S88&amp;$J88,SorP!C:C,0))))</f>
        <v/>
      </c>
      <c r="U88" s="194"/>
      <c r="V88" s="218" t="e">
        <f>IF(C88="",NA(),IF(OR(C88="Smelter not listed",C88="Smelter not yet identified"),MATCH($B88&amp;$D88,'Smelter Look-up'!$J:$J,0),MATCH($B88&amp;$C88,'Smelter Look-up'!$J:$J,0)))</f>
        <v>#N/A</v>
      </c>
      <c r="X88" s="219">
        <f t="shared" ca="1" si="13"/>
        <v>0</v>
      </c>
      <c r="AB88" s="220" t="str">
        <f t="shared" si="14"/>
        <v/>
      </c>
    </row>
    <row r="89" spans="1:28" s="219" customFormat="1" ht="20.25">
      <c r="A89" s="174"/>
      <c r="B89" s="175" t="str">
        <f>IF(LEN(A89)=0,"",INDEX('Smelter Look-up'!$A:$A,MATCH($A89,'Smelter Look-up'!$E:$E,0)))</f>
        <v/>
      </c>
      <c r="C89" s="179" t="str">
        <f>IF(LEN(A89)=0,"",INDEX('Smelter Look-up'!$C:$C,MATCH($A89,'Smelter Look-up'!$E:$E,0)))</f>
        <v/>
      </c>
      <c r="D89" s="222"/>
      <c r="E89" s="175" t="str">
        <f ca="1">IF(ISERROR($V89),"",OFFSET('Smelter Look-up'!$D$4,$V89-4,0)&amp;"")</f>
        <v/>
      </c>
      <c r="F89" s="175" t="str">
        <f ca="1">IF(ISERROR($V89),"",OFFSET('Smelter Look-up'!$E$4,$V89-4,0))</f>
        <v/>
      </c>
      <c r="G89" s="175" t="str">
        <f ca="1">IF(C89=$X$4,IF(ISERROR($V89),"Enter smelter details","RMI"),IF(ISERROR($V89),"",OFFSET('Smelter Look-up'!$F$4,$V89-4,0)))</f>
        <v/>
      </c>
      <c r="H89" s="176" t="str">
        <f ca="1">IF(ISERROR($V89),"",OFFSET('Smelter Look-up'!$G$4,$V89-4,0))</f>
        <v/>
      </c>
      <c r="I89" s="177" t="str">
        <f ca="1">IF(ISERROR($V89),"",OFFSET('Smelter Look-up'!$H$4,$V89-4,0))</f>
        <v/>
      </c>
      <c r="J89" s="177" t="str">
        <f ca="1">IF(ISERROR($V89),"",OFFSET('Smelter Look-up'!$I$4,$V89-4,0))</f>
        <v/>
      </c>
      <c r="K89" s="216"/>
      <c r="L89" s="216"/>
      <c r="M89" s="216"/>
      <c r="N89" s="216"/>
      <c r="O89" s="216"/>
      <c r="P89" s="178"/>
      <c r="Q89" s="217"/>
      <c r="R89" s="175" t="str">
        <f ca="1">IF(ISERROR($V89),"",OFFSET('Smelter Look-up'!$C$4,$V89-4,0)&amp;"")</f>
        <v/>
      </c>
      <c r="S89" s="174" t="str">
        <f t="shared" ca="1" si="12"/>
        <v/>
      </c>
      <c r="T89" s="174" t="str">
        <f ca="1">IF(B89="","",IF(ISERROR(MATCH($J89,SorP!$B$1:$B$6279,0)),"",INDIRECT("'SorP'!$A$"&amp;MATCH($S89&amp;$J89,SorP!C:C,0))))</f>
        <v/>
      </c>
      <c r="U89" s="194"/>
      <c r="V89" s="218" t="e">
        <f>IF(C89="",NA(),IF(OR(C89="Smelter not listed",C89="Smelter not yet identified"),MATCH($B89&amp;$D89,'Smelter Look-up'!$J:$J,0),MATCH($B89&amp;$C89,'Smelter Look-up'!$J:$J,0)))</f>
        <v>#N/A</v>
      </c>
      <c r="X89" s="219">
        <f t="shared" ca="1" si="13"/>
        <v>0</v>
      </c>
      <c r="AB89" s="220" t="str">
        <f t="shared" si="14"/>
        <v/>
      </c>
    </row>
    <row r="90" spans="1:28" s="219" customFormat="1" ht="20.25">
      <c r="A90" s="174"/>
      <c r="B90" s="175" t="str">
        <f>IF(LEN(A90)=0,"",INDEX('Smelter Look-up'!$A:$A,MATCH($A90,'Smelter Look-up'!$E:$E,0)))</f>
        <v/>
      </c>
      <c r="C90" s="179" t="str">
        <f>IF(LEN(A90)=0,"",INDEX('Smelter Look-up'!$C:$C,MATCH($A90,'Smelter Look-up'!$E:$E,0)))</f>
        <v/>
      </c>
      <c r="D90" s="222"/>
      <c r="E90" s="175" t="str">
        <f ca="1">IF(ISERROR($V90),"",OFFSET('Smelter Look-up'!$D$4,$V90-4,0)&amp;"")</f>
        <v/>
      </c>
      <c r="F90" s="175" t="str">
        <f ca="1">IF(ISERROR($V90),"",OFFSET('Smelter Look-up'!$E$4,$V90-4,0))</f>
        <v/>
      </c>
      <c r="G90" s="175" t="str">
        <f ca="1">IF(C90=$X$4,IF(ISERROR($V90),"Enter smelter details","RMI"),IF(ISERROR($V90),"",OFFSET('Smelter Look-up'!$F$4,$V90-4,0)))</f>
        <v/>
      </c>
      <c r="H90" s="176" t="str">
        <f ca="1">IF(ISERROR($V90),"",OFFSET('Smelter Look-up'!$G$4,$V90-4,0))</f>
        <v/>
      </c>
      <c r="I90" s="177" t="str">
        <f ca="1">IF(ISERROR($V90),"",OFFSET('Smelter Look-up'!$H$4,$V90-4,0))</f>
        <v/>
      </c>
      <c r="J90" s="177" t="str">
        <f ca="1">IF(ISERROR($V90),"",OFFSET('Smelter Look-up'!$I$4,$V90-4,0))</f>
        <v/>
      </c>
      <c r="K90" s="216"/>
      <c r="L90" s="216"/>
      <c r="M90" s="216"/>
      <c r="N90" s="216"/>
      <c r="O90" s="216"/>
      <c r="P90" s="178"/>
      <c r="Q90" s="217"/>
      <c r="R90" s="175" t="str">
        <f ca="1">IF(ISERROR($V90),"",OFFSET('Smelter Look-up'!$C$4,$V90-4,0)&amp;"")</f>
        <v/>
      </c>
      <c r="S90" s="174" t="str">
        <f t="shared" ca="1" si="12"/>
        <v/>
      </c>
      <c r="T90" s="174" t="str">
        <f ca="1">IF(B90="","",IF(ISERROR(MATCH($J90,SorP!$B$1:$B$6279,0)),"",INDIRECT("'SorP'!$A$"&amp;MATCH($S90&amp;$J90,SorP!C:C,0))))</f>
        <v/>
      </c>
      <c r="U90" s="194"/>
      <c r="V90" s="218" t="e">
        <f>IF(C90="",NA(),IF(OR(C90="Smelter not listed",C90="Smelter not yet identified"),MATCH($B90&amp;$D90,'Smelter Look-up'!$J:$J,0),MATCH($B90&amp;$C90,'Smelter Look-up'!$J:$J,0)))</f>
        <v>#N/A</v>
      </c>
      <c r="X90" s="219">
        <f t="shared" ca="1" si="13"/>
        <v>0</v>
      </c>
      <c r="AB90" s="220" t="str">
        <f t="shared" si="14"/>
        <v/>
      </c>
    </row>
    <row r="91" spans="1:28" s="219" customFormat="1" ht="20.25">
      <c r="A91" s="174"/>
      <c r="B91" s="175" t="str">
        <f>IF(LEN(A91)=0,"",INDEX('Smelter Look-up'!$A:$A,MATCH($A91,'Smelter Look-up'!$E:$E,0)))</f>
        <v/>
      </c>
      <c r="C91" s="179" t="str">
        <f>IF(LEN(A91)=0,"",INDEX('Smelter Look-up'!$C:$C,MATCH($A91,'Smelter Look-up'!$E:$E,0)))</f>
        <v/>
      </c>
      <c r="D91" s="222"/>
      <c r="E91" s="175" t="str">
        <f ca="1">IF(ISERROR($V91),"",OFFSET('Smelter Look-up'!$D$4,$V91-4,0)&amp;"")</f>
        <v/>
      </c>
      <c r="F91" s="175" t="str">
        <f ca="1">IF(ISERROR($V91),"",OFFSET('Smelter Look-up'!$E$4,$V91-4,0))</f>
        <v/>
      </c>
      <c r="G91" s="175" t="str">
        <f ca="1">IF(C91=$X$4,IF(ISERROR($V91),"Enter smelter details","RMI"),IF(ISERROR($V91),"",OFFSET('Smelter Look-up'!$F$4,$V91-4,0)))</f>
        <v/>
      </c>
      <c r="H91" s="176" t="str">
        <f ca="1">IF(ISERROR($V91),"",OFFSET('Smelter Look-up'!$G$4,$V91-4,0))</f>
        <v/>
      </c>
      <c r="I91" s="177" t="str">
        <f ca="1">IF(ISERROR($V91),"",OFFSET('Smelter Look-up'!$H$4,$V91-4,0))</f>
        <v/>
      </c>
      <c r="J91" s="177" t="str">
        <f ca="1">IF(ISERROR($V91),"",OFFSET('Smelter Look-up'!$I$4,$V91-4,0))</f>
        <v/>
      </c>
      <c r="K91" s="216"/>
      <c r="L91" s="216"/>
      <c r="M91" s="216"/>
      <c r="N91" s="216"/>
      <c r="O91" s="216"/>
      <c r="P91" s="178"/>
      <c r="Q91" s="217"/>
      <c r="R91" s="175" t="str">
        <f ca="1">IF(ISERROR($V91),"",OFFSET('Smelter Look-up'!$C$4,$V91-4,0)&amp;"")</f>
        <v/>
      </c>
      <c r="S91" s="174" t="str">
        <f t="shared" ca="1" si="12"/>
        <v/>
      </c>
      <c r="T91" s="174" t="str">
        <f ca="1">IF(B91="","",IF(ISERROR(MATCH($J91,SorP!$B$1:$B$6279,0)),"",INDIRECT("'SorP'!$A$"&amp;MATCH($S91&amp;$J91,SorP!C:C,0))))</f>
        <v/>
      </c>
      <c r="U91" s="194"/>
      <c r="V91" s="218" t="e">
        <f>IF(C91="",NA(),IF(OR(C91="Smelter not listed",C91="Smelter not yet identified"),MATCH($B91&amp;$D91,'Smelter Look-up'!$J:$J,0),MATCH($B91&amp;$C91,'Smelter Look-up'!$J:$J,0)))</f>
        <v>#N/A</v>
      </c>
      <c r="X91" s="219">
        <f t="shared" ca="1" si="13"/>
        <v>0</v>
      </c>
      <c r="AB91" s="220" t="str">
        <f t="shared" si="14"/>
        <v/>
      </c>
    </row>
    <row r="92" spans="1:28" s="219" customFormat="1" ht="20.25">
      <c r="A92" s="174"/>
      <c r="B92" s="175" t="str">
        <f>IF(LEN(A92)=0,"",INDEX('Smelter Look-up'!$A:$A,MATCH($A92,'Smelter Look-up'!$E:$E,0)))</f>
        <v/>
      </c>
      <c r="C92" s="179" t="str">
        <f>IF(LEN(A92)=0,"",INDEX('Smelter Look-up'!$C:$C,MATCH($A92,'Smelter Look-up'!$E:$E,0)))</f>
        <v/>
      </c>
      <c r="D92" s="222"/>
      <c r="E92" s="175" t="str">
        <f ca="1">IF(ISERROR($V92),"",OFFSET('Smelter Look-up'!$D$4,$V92-4,0)&amp;"")</f>
        <v/>
      </c>
      <c r="F92" s="175" t="str">
        <f ca="1">IF(ISERROR($V92),"",OFFSET('Smelter Look-up'!$E$4,$V92-4,0))</f>
        <v/>
      </c>
      <c r="G92" s="175" t="str">
        <f ca="1">IF(C92=$X$4,IF(ISERROR($V92),"Enter smelter details","RMI"),IF(ISERROR($V92),"",OFFSET('Smelter Look-up'!$F$4,$V92-4,0)))</f>
        <v/>
      </c>
      <c r="H92" s="176" t="str">
        <f ca="1">IF(ISERROR($V92),"",OFFSET('Smelter Look-up'!$G$4,$V92-4,0))</f>
        <v/>
      </c>
      <c r="I92" s="177" t="str">
        <f ca="1">IF(ISERROR($V92),"",OFFSET('Smelter Look-up'!$H$4,$V92-4,0))</f>
        <v/>
      </c>
      <c r="J92" s="177" t="str">
        <f ca="1">IF(ISERROR($V92),"",OFFSET('Smelter Look-up'!$I$4,$V92-4,0))</f>
        <v/>
      </c>
      <c r="K92" s="216"/>
      <c r="L92" s="216"/>
      <c r="M92" s="216"/>
      <c r="N92" s="216"/>
      <c r="O92" s="216"/>
      <c r="P92" s="178"/>
      <c r="Q92" s="217"/>
      <c r="R92" s="175" t="str">
        <f ca="1">IF(ISERROR($V92),"",OFFSET('Smelter Look-up'!$C$4,$V92-4,0)&amp;"")</f>
        <v/>
      </c>
      <c r="S92" s="174" t="str">
        <f t="shared" ca="1" si="12"/>
        <v/>
      </c>
      <c r="T92" s="174" t="str">
        <f ca="1">IF(B92="","",IF(ISERROR(MATCH($J92,SorP!$B$1:$B$6279,0)),"",INDIRECT("'SorP'!$A$"&amp;MATCH($S92&amp;$J92,SorP!C:C,0))))</f>
        <v/>
      </c>
      <c r="U92" s="194"/>
      <c r="V92" s="218" t="e">
        <f>IF(C92="",NA(),IF(OR(C92="Smelter not listed",C92="Smelter not yet identified"),MATCH($B92&amp;$D92,'Smelter Look-up'!$J:$J,0),MATCH($B92&amp;$C92,'Smelter Look-up'!$J:$J,0)))</f>
        <v>#N/A</v>
      </c>
      <c r="X92" s="219">
        <f t="shared" ca="1" si="13"/>
        <v>0</v>
      </c>
      <c r="AB92" s="220" t="str">
        <f t="shared" si="14"/>
        <v/>
      </c>
    </row>
    <row r="93" spans="1:28" s="219" customFormat="1" ht="20.25">
      <c r="A93" s="174"/>
      <c r="B93" s="175" t="str">
        <f>IF(LEN(A93)=0,"",INDEX('Smelter Look-up'!$A:$A,MATCH($A93,'Smelter Look-up'!$E:$E,0)))</f>
        <v/>
      </c>
      <c r="C93" s="179" t="str">
        <f>IF(LEN(A93)=0,"",INDEX('Smelter Look-up'!$C:$C,MATCH($A93,'Smelter Look-up'!$E:$E,0)))</f>
        <v/>
      </c>
      <c r="D93" s="222"/>
      <c r="E93" s="175" t="str">
        <f ca="1">IF(ISERROR($V93),"",OFFSET('Smelter Look-up'!$D$4,$V93-4,0)&amp;"")</f>
        <v/>
      </c>
      <c r="F93" s="175" t="str">
        <f ca="1">IF(ISERROR($V93),"",OFFSET('Smelter Look-up'!$E$4,$V93-4,0))</f>
        <v/>
      </c>
      <c r="G93" s="175" t="str">
        <f ca="1">IF(C93=$X$4,IF(ISERROR($V93),"Enter smelter details","RMI"),IF(ISERROR($V93),"",OFFSET('Smelter Look-up'!$F$4,$V93-4,0)))</f>
        <v/>
      </c>
      <c r="H93" s="176" t="str">
        <f ca="1">IF(ISERROR($V93),"",OFFSET('Smelter Look-up'!$G$4,$V93-4,0))</f>
        <v/>
      </c>
      <c r="I93" s="177" t="str">
        <f ca="1">IF(ISERROR($V93),"",OFFSET('Smelter Look-up'!$H$4,$V93-4,0))</f>
        <v/>
      </c>
      <c r="J93" s="177" t="str">
        <f ca="1">IF(ISERROR($V93),"",OFFSET('Smelter Look-up'!$I$4,$V93-4,0))</f>
        <v/>
      </c>
      <c r="K93" s="216"/>
      <c r="L93" s="216"/>
      <c r="M93" s="216"/>
      <c r="N93" s="216"/>
      <c r="O93" s="216"/>
      <c r="P93" s="178"/>
      <c r="Q93" s="217"/>
      <c r="R93" s="175" t="str">
        <f ca="1">IF(ISERROR($V93),"",OFFSET('Smelter Look-up'!$C$4,$V93-4,0)&amp;"")</f>
        <v/>
      </c>
      <c r="S93" s="174" t="str">
        <f t="shared" ca="1" si="12"/>
        <v/>
      </c>
      <c r="T93" s="174" t="str">
        <f ca="1">IF(B93="","",IF(ISERROR(MATCH($J93,SorP!$B$1:$B$6279,0)),"",INDIRECT("'SorP'!$A$"&amp;MATCH($S93&amp;$J93,SorP!C:C,0))))</f>
        <v/>
      </c>
      <c r="U93" s="194"/>
      <c r="V93" s="218" t="e">
        <f>IF(C93="",NA(),IF(OR(C93="Smelter not listed",C93="Smelter not yet identified"),MATCH($B93&amp;$D93,'Smelter Look-up'!$J:$J,0),MATCH($B93&amp;$C93,'Smelter Look-up'!$J:$J,0)))</f>
        <v>#N/A</v>
      </c>
      <c r="X93" s="219">
        <f t="shared" ca="1" si="13"/>
        <v>0</v>
      </c>
      <c r="AB93" s="220" t="str">
        <f t="shared" si="14"/>
        <v/>
      </c>
    </row>
    <row r="94" spans="1:28" s="219" customFormat="1" ht="20.25">
      <c r="A94" s="174"/>
      <c r="B94" s="175" t="str">
        <f>IF(LEN(A94)=0,"",INDEX('Smelter Look-up'!$A:$A,MATCH($A94,'Smelter Look-up'!$E:$E,0)))</f>
        <v/>
      </c>
      <c r="C94" s="179" t="str">
        <f>IF(LEN(A94)=0,"",INDEX('Smelter Look-up'!$C:$C,MATCH($A94,'Smelter Look-up'!$E:$E,0)))</f>
        <v/>
      </c>
      <c r="D94" s="222"/>
      <c r="E94" s="175" t="str">
        <f ca="1">IF(ISERROR($V94),"",OFFSET('Smelter Look-up'!$D$4,$V94-4,0)&amp;"")</f>
        <v/>
      </c>
      <c r="F94" s="175" t="str">
        <f ca="1">IF(ISERROR($V94),"",OFFSET('Smelter Look-up'!$E$4,$V94-4,0))</f>
        <v/>
      </c>
      <c r="G94" s="175" t="str">
        <f ca="1">IF(C94=$X$4,IF(ISERROR($V94),"Enter smelter details","RMI"),IF(ISERROR($V94),"",OFFSET('Smelter Look-up'!$F$4,$V94-4,0)))</f>
        <v/>
      </c>
      <c r="H94" s="176" t="str">
        <f ca="1">IF(ISERROR($V94),"",OFFSET('Smelter Look-up'!$G$4,$V94-4,0))</f>
        <v/>
      </c>
      <c r="I94" s="177" t="str">
        <f ca="1">IF(ISERROR($V94),"",OFFSET('Smelter Look-up'!$H$4,$V94-4,0))</f>
        <v/>
      </c>
      <c r="J94" s="177" t="str">
        <f ca="1">IF(ISERROR($V94),"",OFFSET('Smelter Look-up'!$I$4,$V94-4,0))</f>
        <v/>
      </c>
      <c r="K94" s="216"/>
      <c r="L94" s="216"/>
      <c r="M94" s="216"/>
      <c r="N94" s="216"/>
      <c r="O94" s="216"/>
      <c r="P94" s="178"/>
      <c r="Q94" s="217"/>
      <c r="R94" s="175" t="str">
        <f ca="1">IF(ISERROR($V94),"",OFFSET('Smelter Look-up'!$C$4,$V94-4,0)&amp;"")</f>
        <v/>
      </c>
      <c r="S94" s="174" t="str">
        <f t="shared" ca="1" si="12"/>
        <v/>
      </c>
      <c r="T94" s="174" t="str">
        <f ca="1">IF(B94="","",IF(ISERROR(MATCH($J94,SorP!$B$1:$B$6279,0)),"",INDIRECT("'SorP'!$A$"&amp;MATCH($S94&amp;$J94,SorP!C:C,0))))</f>
        <v/>
      </c>
      <c r="U94" s="194"/>
      <c r="V94" s="218" t="e">
        <f>IF(C94="",NA(),IF(OR(C94="Smelter not listed",C94="Smelter not yet identified"),MATCH($B94&amp;$D94,'Smelter Look-up'!$J:$J,0),MATCH($B94&amp;$C94,'Smelter Look-up'!$J:$J,0)))</f>
        <v>#N/A</v>
      </c>
      <c r="X94" s="219">
        <f t="shared" ca="1" si="13"/>
        <v>0</v>
      </c>
      <c r="AB94" s="220" t="str">
        <f t="shared" si="14"/>
        <v/>
      </c>
    </row>
    <row r="95" spans="1:28" s="219" customFormat="1" ht="20.25">
      <c r="A95" s="174"/>
      <c r="B95" s="175" t="str">
        <f>IF(LEN(A95)=0,"",INDEX('Smelter Look-up'!$A:$A,MATCH($A95,'Smelter Look-up'!$E:$E,0)))</f>
        <v/>
      </c>
      <c r="C95" s="179" t="str">
        <f>IF(LEN(A95)=0,"",INDEX('Smelter Look-up'!$C:$C,MATCH($A95,'Smelter Look-up'!$E:$E,0)))</f>
        <v/>
      </c>
      <c r="D95" s="222"/>
      <c r="E95" s="175" t="str">
        <f ca="1">IF(ISERROR($V95),"",OFFSET('Smelter Look-up'!$D$4,$V95-4,0)&amp;"")</f>
        <v/>
      </c>
      <c r="F95" s="175" t="str">
        <f ca="1">IF(ISERROR($V95),"",OFFSET('Smelter Look-up'!$E$4,$V95-4,0))</f>
        <v/>
      </c>
      <c r="G95" s="175" t="str">
        <f ca="1">IF(C95=$X$4,IF(ISERROR($V95),"Enter smelter details","RMI"),IF(ISERROR($V95),"",OFFSET('Smelter Look-up'!$F$4,$V95-4,0)))</f>
        <v/>
      </c>
      <c r="H95" s="176" t="str">
        <f ca="1">IF(ISERROR($V95),"",OFFSET('Smelter Look-up'!$G$4,$V95-4,0))</f>
        <v/>
      </c>
      <c r="I95" s="177" t="str">
        <f ca="1">IF(ISERROR($V95),"",OFFSET('Smelter Look-up'!$H$4,$V95-4,0))</f>
        <v/>
      </c>
      <c r="J95" s="177" t="str">
        <f ca="1">IF(ISERROR($V95),"",OFFSET('Smelter Look-up'!$I$4,$V95-4,0))</f>
        <v/>
      </c>
      <c r="K95" s="216"/>
      <c r="L95" s="216"/>
      <c r="M95" s="216"/>
      <c r="N95" s="216"/>
      <c r="O95" s="216"/>
      <c r="P95" s="178"/>
      <c r="Q95" s="217"/>
      <c r="R95" s="175" t="str">
        <f ca="1">IF(ISERROR($V95),"",OFFSET('Smelter Look-up'!$C$4,$V95-4,0)&amp;"")</f>
        <v/>
      </c>
      <c r="S95" s="174" t="str">
        <f t="shared" ca="1" si="12"/>
        <v/>
      </c>
      <c r="T95" s="174" t="str">
        <f ca="1">IF(B95="","",IF(ISERROR(MATCH($J95,SorP!$B$1:$B$6279,0)),"",INDIRECT("'SorP'!$A$"&amp;MATCH($S95&amp;$J95,SorP!C:C,0))))</f>
        <v/>
      </c>
      <c r="U95" s="194"/>
      <c r="V95" s="218" t="e">
        <f>IF(C95="",NA(),IF(OR(C95="Smelter not listed",C95="Smelter not yet identified"),MATCH($B95&amp;$D95,'Smelter Look-up'!$J:$J,0),MATCH($B95&amp;$C95,'Smelter Look-up'!$J:$J,0)))</f>
        <v>#N/A</v>
      </c>
      <c r="X95" s="219">
        <f t="shared" ca="1" si="13"/>
        <v>0</v>
      </c>
      <c r="AB95" s="220" t="str">
        <f t="shared" si="14"/>
        <v/>
      </c>
    </row>
    <row r="96" spans="1:28" s="219" customFormat="1" ht="20.25">
      <c r="A96" s="174"/>
      <c r="B96" s="175" t="str">
        <f>IF(LEN(A96)=0,"",INDEX('Smelter Look-up'!$A:$A,MATCH($A96,'Smelter Look-up'!$E:$E,0)))</f>
        <v/>
      </c>
      <c r="C96" s="179" t="str">
        <f>IF(LEN(A96)=0,"",INDEX('Smelter Look-up'!$C:$C,MATCH($A96,'Smelter Look-up'!$E:$E,0)))</f>
        <v/>
      </c>
      <c r="D96" s="222"/>
      <c r="E96" s="175" t="str">
        <f ca="1">IF(ISERROR($V96),"",OFFSET('Smelter Look-up'!$D$4,$V96-4,0)&amp;"")</f>
        <v/>
      </c>
      <c r="F96" s="175" t="str">
        <f ca="1">IF(ISERROR($V96),"",OFFSET('Smelter Look-up'!$E$4,$V96-4,0))</f>
        <v/>
      </c>
      <c r="G96" s="175" t="str">
        <f ca="1">IF(C96=$X$4,IF(ISERROR($V96),"Enter smelter details","RMI"),IF(ISERROR($V96),"",OFFSET('Smelter Look-up'!$F$4,$V96-4,0)))</f>
        <v/>
      </c>
      <c r="H96" s="176" t="str">
        <f ca="1">IF(ISERROR($V96),"",OFFSET('Smelter Look-up'!$G$4,$V96-4,0))</f>
        <v/>
      </c>
      <c r="I96" s="177" t="str">
        <f ca="1">IF(ISERROR($V96),"",OFFSET('Smelter Look-up'!$H$4,$V96-4,0))</f>
        <v/>
      </c>
      <c r="J96" s="177" t="str">
        <f ca="1">IF(ISERROR($V96),"",OFFSET('Smelter Look-up'!$I$4,$V96-4,0))</f>
        <v/>
      </c>
      <c r="K96" s="216"/>
      <c r="L96" s="216"/>
      <c r="M96" s="216"/>
      <c r="N96" s="216"/>
      <c r="O96" s="216"/>
      <c r="P96" s="178"/>
      <c r="Q96" s="217"/>
      <c r="R96" s="175" t="str">
        <f ca="1">IF(ISERROR($V96),"",OFFSET('Smelter Look-up'!$C$4,$V96-4,0)&amp;"")</f>
        <v/>
      </c>
      <c r="S96" s="174" t="str">
        <f t="shared" ca="1" si="12"/>
        <v/>
      </c>
      <c r="T96" s="174" t="str">
        <f ca="1">IF(B96="","",IF(ISERROR(MATCH($J96,SorP!$B$1:$B$6279,0)),"",INDIRECT("'SorP'!$A$"&amp;MATCH($S96&amp;$J96,SorP!C:C,0))))</f>
        <v/>
      </c>
      <c r="U96" s="194"/>
      <c r="V96" s="218" t="e">
        <f>IF(C96="",NA(),IF(OR(C96="Smelter not listed",C96="Smelter not yet identified"),MATCH($B96&amp;$D96,'Smelter Look-up'!$J:$J,0),MATCH($B96&amp;$C96,'Smelter Look-up'!$J:$J,0)))</f>
        <v>#N/A</v>
      </c>
      <c r="X96" s="219">
        <f t="shared" ca="1" si="13"/>
        <v>0</v>
      </c>
      <c r="AB96" s="220" t="str">
        <f t="shared" si="14"/>
        <v/>
      </c>
    </row>
    <row r="97" spans="1:28" s="219" customFormat="1" ht="20.25">
      <c r="A97" s="174"/>
      <c r="B97" s="175" t="str">
        <f>IF(LEN(A97)=0,"",INDEX('Smelter Look-up'!$A:$A,MATCH($A97,'Smelter Look-up'!$E:$E,0)))</f>
        <v/>
      </c>
      <c r="C97" s="179" t="str">
        <f>IF(LEN(A97)=0,"",INDEX('Smelter Look-up'!$C:$C,MATCH($A97,'Smelter Look-up'!$E:$E,0)))</f>
        <v/>
      </c>
      <c r="D97" s="222"/>
      <c r="E97" s="175" t="str">
        <f ca="1">IF(ISERROR($V97),"",OFFSET('Smelter Look-up'!$D$4,$V97-4,0)&amp;"")</f>
        <v/>
      </c>
      <c r="F97" s="175" t="str">
        <f ca="1">IF(ISERROR($V97),"",OFFSET('Smelter Look-up'!$E$4,$V97-4,0))</f>
        <v/>
      </c>
      <c r="G97" s="175" t="str">
        <f ca="1">IF(C97=$X$4,IF(ISERROR($V97),"Enter smelter details","RMI"),IF(ISERROR($V97),"",OFFSET('Smelter Look-up'!$F$4,$V97-4,0)))</f>
        <v/>
      </c>
      <c r="H97" s="176" t="str">
        <f ca="1">IF(ISERROR($V97),"",OFFSET('Smelter Look-up'!$G$4,$V97-4,0))</f>
        <v/>
      </c>
      <c r="I97" s="177" t="str">
        <f ca="1">IF(ISERROR($V97),"",OFFSET('Smelter Look-up'!$H$4,$V97-4,0))</f>
        <v/>
      </c>
      <c r="J97" s="177" t="str">
        <f ca="1">IF(ISERROR($V97),"",OFFSET('Smelter Look-up'!$I$4,$V97-4,0))</f>
        <v/>
      </c>
      <c r="K97" s="216"/>
      <c r="L97" s="216"/>
      <c r="M97" s="216"/>
      <c r="N97" s="216"/>
      <c r="O97" s="216"/>
      <c r="P97" s="178"/>
      <c r="Q97" s="217"/>
      <c r="R97" s="175" t="str">
        <f ca="1">IF(ISERROR($V97),"",OFFSET('Smelter Look-up'!$C$4,$V97-4,0)&amp;"")</f>
        <v/>
      </c>
      <c r="S97" s="174" t="str">
        <f t="shared" ca="1" si="12"/>
        <v/>
      </c>
      <c r="T97" s="174" t="str">
        <f ca="1">IF(B97="","",IF(ISERROR(MATCH($J97,SorP!$B$1:$B$6279,0)),"",INDIRECT("'SorP'!$A$"&amp;MATCH($S97&amp;$J97,SorP!C:C,0))))</f>
        <v/>
      </c>
      <c r="U97" s="194"/>
      <c r="V97" s="218" t="e">
        <f>IF(C97="",NA(),IF(OR(C97="Smelter not listed",C97="Smelter not yet identified"),MATCH($B97&amp;$D97,'Smelter Look-up'!$J:$J,0),MATCH($B97&amp;$C97,'Smelter Look-up'!$J:$J,0)))</f>
        <v>#N/A</v>
      </c>
      <c r="X97" s="219">
        <f t="shared" ca="1" si="13"/>
        <v>0</v>
      </c>
      <c r="AB97" s="220" t="str">
        <f t="shared" si="14"/>
        <v/>
      </c>
    </row>
    <row r="98" spans="1:28" s="219" customFormat="1" ht="20.25">
      <c r="A98" s="174"/>
      <c r="B98" s="175" t="str">
        <f>IF(LEN(A98)=0,"",INDEX('Smelter Look-up'!$A:$A,MATCH($A98,'Smelter Look-up'!$E:$E,0)))</f>
        <v/>
      </c>
      <c r="C98" s="179" t="str">
        <f>IF(LEN(A98)=0,"",INDEX('Smelter Look-up'!$C:$C,MATCH($A98,'Smelter Look-up'!$E:$E,0)))</f>
        <v/>
      </c>
      <c r="D98" s="222"/>
      <c r="E98" s="175" t="str">
        <f ca="1">IF(ISERROR($V98),"",OFFSET('Smelter Look-up'!$D$4,$V98-4,0)&amp;"")</f>
        <v/>
      </c>
      <c r="F98" s="175" t="str">
        <f ca="1">IF(ISERROR($V98),"",OFFSET('Smelter Look-up'!$E$4,$V98-4,0))</f>
        <v/>
      </c>
      <c r="G98" s="175" t="str">
        <f ca="1">IF(C98=$X$4,IF(ISERROR($V98),"Enter smelter details","RMI"),IF(ISERROR($V98),"",OFFSET('Smelter Look-up'!$F$4,$V98-4,0)))</f>
        <v/>
      </c>
      <c r="H98" s="176" t="str">
        <f ca="1">IF(ISERROR($V98),"",OFFSET('Smelter Look-up'!$G$4,$V98-4,0))</f>
        <v/>
      </c>
      <c r="I98" s="177" t="str">
        <f ca="1">IF(ISERROR($V98),"",OFFSET('Smelter Look-up'!$H$4,$V98-4,0))</f>
        <v/>
      </c>
      <c r="J98" s="177" t="str">
        <f ca="1">IF(ISERROR($V98),"",OFFSET('Smelter Look-up'!$I$4,$V98-4,0))</f>
        <v/>
      </c>
      <c r="K98" s="216"/>
      <c r="L98" s="216"/>
      <c r="M98" s="216"/>
      <c r="N98" s="216"/>
      <c r="O98" s="216"/>
      <c r="P98" s="178"/>
      <c r="Q98" s="217"/>
      <c r="R98" s="175" t="str">
        <f ca="1">IF(ISERROR($V98),"",OFFSET('Smelter Look-up'!$C$4,$V98-4,0)&amp;"")</f>
        <v/>
      </c>
      <c r="S98" s="174" t="str">
        <f t="shared" ca="1" si="12"/>
        <v/>
      </c>
      <c r="T98" s="174" t="str">
        <f ca="1">IF(B98="","",IF(ISERROR(MATCH($J98,SorP!$B$1:$B$6279,0)),"",INDIRECT("'SorP'!$A$"&amp;MATCH($S98&amp;$J98,SorP!C:C,0))))</f>
        <v/>
      </c>
      <c r="U98" s="194"/>
      <c r="V98" s="218" t="e">
        <f>IF(C98="",NA(),IF(OR(C98="Smelter not listed",C98="Smelter not yet identified"),MATCH($B98&amp;$D98,'Smelter Look-up'!$J:$J,0),MATCH($B98&amp;$C98,'Smelter Look-up'!$J:$J,0)))</f>
        <v>#N/A</v>
      </c>
      <c r="X98" s="219">
        <f t="shared" ca="1" si="13"/>
        <v>0</v>
      </c>
      <c r="AB98" s="220" t="str">
        <f t="shared" si="14"/>
        <v/>
      </c>
    </row>
    <row r="99" spans="1:28" s="219" customFormat="1" ht="20.25">
      <c r="A99" s="174"/>
      <c r="B99" s="175" t="str">
        <f>IF(LEN(A99)=0,"",INDEX('Smelter Look-up'!$A:$A,MATCH($A99,'Smelter Look-up'!$E:$E,0)))</f>
        <v/>
      </c>
      <c r="C99" s="179" t="str">
        <f>IF(LEN(A99)=0,"",INDEX('Smelter Look-up'!$C:$C,MATCH($A99,'Smelter Look-up'!$E:$E,0)))</f>
        <v/>
      </c>
      <c r="D99" s="222"/>
      <c r="E99" s="175" t="str">
        <f ca="1">IF(ISERROR($V99),"",OFFSET('Smelter Look-up'!$D$4,$V99-4,0)&amp;"")</f>
        <v/>
      </c>
      <c r="F99" s="175" t="str">
        <f ca="1">IF(ISERROR($V99),"",OFFSET('Smelter Look-up'!$E$4,$V99-4,0))</f>
        <v/>
      </c>
      <c r="G99" s="175" t="str">
        <f ca="1">IF(C99=$X$4,IF(ISERROR($V99),"Enter smelter details","RMI"),IF(ISERROR($V99),"",OFFSET('Smelter Look-up'!$F$4,$V99-4,0)))</f>
        <v/>
      </c>
      <c r="H99" s="176" t="str">
        <f ca="1">IF(ISERROR($V99),"",OFFSET('Smelter Look-up'!$G$4,$V99-4,0))</f>
        <v/>
      </c>
      <c r="I99" s="177" t="str">
        <f ca="1">IF(ISERROR($V99),"",OFFSET('Smelter Look-up'!$H$4,$V99-4,0))</f>
        <v/>
      </c>
      <c r="J99" s="177" t="str">
        <f ca="1">IF(ISERROR($V99),"",OFFSET('Smelter Look-up'!$I$4,$V99-4,0))</f>
        <v/>
      </c>
      <c r="K99" s="216"/>
      <c r="L99" s="216"/>
      <c r="M99" s="216"/>
      <c r="N99" s="216"/>
      <c r="O99" s="216"/>
      <c r="P99" s="178"/>
      <c r="Q99" s="217"/>
      <c r="R99" s="175" t="str">
        <f ca="1">IF(ISERROR($V99),"",OFFSET('Smelter Look-up'!$C$4,$V99-4,0)&amp;"")</f>
        <v/>
      </c>
      <c r="S99" s="174" t="str">
        <f t="shared" ca="1" si="12"/>
        <v/>
      </c>
      <c r="T99" s="174" t="str">
        <f ca="1">IF(B99="","",IF(ISERROR(MATCH($J99,SorP!$B$1:$B$6279,0)),"",INDIRECT("'SorP'!$A$"&amp;MATCH($S99&amp;$J99,SorP!C:C,0))))</f>
        <v/>
      </c>
      <c r="U99" s="194"/>
      <c r="V99" s="218" t="e">
        <f>IF(C99="",NA(),IF(OR(C99="Smelter not listed",C99="Smelter not yet identified"),MATCH($B99&amp;$D99,'Smelter Look-up'!$J:$J,0),MATCH($B99&amp;$C99,'Smelter Look-up'!$J:$J,0)))</f>
        <v>#N/A</v>
      </c>
      <c r="X99" s="219">
        <f t="shared" ca="1" si="13"/>
        <v>0</v>
      </c>
      <c r="AB99" s="220" t="str">
        <f t="shared" si="14"/>
        <v/>
      </c>
    </row>
    <row r="100" spans="1:28" s="219" customFormat="1" ht="20.25">
      <c r="A100" s="174"/>
      <c r="B100" s="175" t="str">
        <f>IF(LEN(A100)=0,"",INDEX('Smelter Look-up'!$A:$A,MATCH($A100,'Smelter Look-up'!$E:$E,0)))</f>
        <v/>
      </c>
      <c r="C100" s="179" t="str">
        <f>IF(LEN(A100)=0,"",INDEX('Smelter Look-up'!$C:$C,MATCH($A100,'Smelter Look-up'!$E:$E,0)))</f>
        <v/>
      </c>
      <c r="D100" s="222"/>
      <c r="E100" s="175" t="str">
        <f ca="1">IF(ISERROR($V100),"",OFFSET('Smelter Look-up'!$D$4,$V100-4,0)&amp;"")</f>
        <v/>
      </c>
      <c r="F100" s="175" t="str">
        <f ca="1">IF(ISERROR($V100),"",OFFSET('Smelter Look-up'!$E$4,$V100-4,0))</f>
        <v/>
      </c>
      <c r="G100" s="175" t="str">
        <f ca="1">IF(C100=$X$4,IF(ISERROR($V100),"Enter smelter details","RMI"),IF(ISERROR($V100),"",OFFSET('Smelter Look-up'!$F$4,$V100-4,0)))</f>
        <v/>
      </c>
      <c r="H100" s="176" t="str">
        <f ca="1">IF(ISERROR($V100),"",OFFSET('Smelter Look-up'!$G$4,$V100-4,0))</f>
        <v/>
      </c>
      <c r="I100" s="177" t="str">
        <f ca="1">IF(ISERROR($V100),"",OFFSET('Smelter Look-up'!$H$4,$V100-4,0))</f>
        <v/>
      </c>
      <c r="J100" s="177" t="str">
        <f ca="1">IF(ISERROR($V100),"",OFFSET('Smelter Look-up'!$I$4,$V100-4,0))</f>
        <v/>
      </c>
      <c r="K100" s="216"/>
      <c r="L100" s="216"/>
      <c r="M100" s="216"/>
      <c r="N100" s="216"/>
      <c r="O100" s="216"/>
      <c r="P100" s="178"/>
      <c r="Q100" s="217"/>
      <c r="R100" s="175" t="str">
        <f ca="1">IF(ISERROR($V100),"",OFFSET('Smelter Look-up'!$C$4,$V100-4,0)&amp;"")</f>
        <v/>
      </c>
      <c r="S100" s="174" t="str">
        <f t="shared" ca="1" si="12"/>
        <v/>
      </c>
      <c r="T100" s="174" t="str">
        <f ca="1">IF(B100="","",IF(ISERROR(MATCH($J100,SorP!$B$1:$B$6279,0)),"",INDIRECT("'SorP'!$A$"&amp;MATCH($S100&amp;$J100,SorP!C:C,0))))</f>
        <v/>
      </c>
      <c r="U100" s="194"/>
      <c r="V100" s="218" t="e">
        <f>IF(C100="",NA(),IF(OR(C100="Smelter not listed",C100="Smelter not yet identified"),MATCH($B100&amp;$D100,'Smelter Look-up'!$J:$J,0),MATCH($B100&amp;$C100,'Smelter Look-up'!$J:$J,0)))</f>
        <v>#N/A</v>
      </c>
      <c r="X100" s="219">
        <f t="shared" ca="1" si="13"/>
        <v>0</v>
      </c>
      <c r="AB100" s="220" t="str">
        <f t="shared" si="14"/>
        <v/>
      </c>
    </row>
    <row r="101" spans="1:28" s="219" customFormat="1" ht="20.25">
      <c r="A101" s="174"/>
      <c r="B101" s="175" t="str">
        <f>IF(LEN(A101)=0,"",INDEX('Smelter Look-up'!$A:$A,MATCH($A101,'Smelter Look-up'!$E:$E,0)))</f>
        <v/>
      </c>
      <c r="C101" s="179" t="str">
        <f>IF(LEN(A101)=0,"",INDEX('Smelter Look-up'!$C:$C,MATCH($A101,'Smelter Look-up'!$E:$E,0)))</f>
        <v/>
      </c>
      <c r="D101" s="222"/>
      <c r="E101" s="175" t="str">
        <f ca="1">IF(ISERROR($V101),"",OFFSET('Smelter Look-up'!$D$4,$V101-4,0)&amp;"")</f>
        <v/>
      </c>
      <c r="F101" s="175" t="str">
        <f ca="1">IF(ISERROR($V101),"",OFFSET('Smelter Look-up'!$E$4,$V101-4,0))</f>
        <v/>
      </c>
      <c r="G101" s="175" t="str">
        <f ca="1">IF(C101=$X$4,IF(ISERROR($V101),"Enter smelter details","RMI"),IF(ISERROR($V101),"",OFFSET('Smelter Look-up'!$F$4,$V101-4,0)))</f>
        <v/>
      </c>
      <c r="H101" s="176" t="str">
        <f ca="1">IF(ISERROR($V101),"",OFFSET('Smelter Look-up'!$G$4,$V101-4,0))</f>
        <v/>
      </c>
      <c r="I101" s="177" t="str">
        <f ca="1">IF(ISERROR($V101),"",OFFSET('Smelter Look-up'!$H$4,$V101-4,0))</f>
        <v/>
      </c>
      <c r="J101" s="177" t="str">
        <f ca="1">IF(ISERROR($V101),"",OFFSET('Smelter Look-up'!$I$4,$V101-4,0))</f>
        <v/>
      </c>
      <c r="K101" s="216"/>
      <c r="L101" s="216"/>
      <c r="M101" s="216"/>
      <c r="N101" s="216"/>
      <c r="O101" s="216"/>
      <c r="P101" s="178"/>
      <c r="Q101" s="217"/>
      <c r="R101" s="175" t="str">
        <f ca="1">IF(ISERROR($V101),"",OFFSET('Smelter Look-up'!$C$4,$V101-4,0)&amp;"")</f>
        <v/>
      </c>
      <c r="S101" s="174" t="str">
        <f t="shared" ca="1" si="12"/>
        <v/>
      </c>
      <c r="T101" s="174" t="str">
        <f ca="1">IF(B101="","",IF(ISERROR(MATCH($J101,SorP!$B$1:$B$6279,0)),"",INDIRECT("'SorP'!$A$"&amp;MATCH($S101&amp;$J101,SorP!C:C,0))))</f>
        <v/>
      </c>
      <c r="U101" s="194"/>
      <c r="V101" s="218" t="e">
        <f>IF(C101="",NA(),IF(OR(C101="Smelter not listed",C101="Smelter not yet identified"),MATCH($B101&amp;$D101,'Smelter Look-up'!$J:$J,0),MATCH($B101&amp;$C101,'Smelter Look-up'!$J:$J,0)))</f>
        <v>#N/A</v>
      </c>
      <c r="X101" s="219">
        <f t="shared" ca="1" si="13"/>
        <v>0</v>
      </c>
      <c r="AB101" s="220" t="str">
        <f t="shared" si="14"/>
        <v/>
      </c>
    </row>
    <row r="102" spans="1:28" s="219" customFormat="1" ht="20.25">
      <c r="A102" s="174"/>
      <c r="B102" s="175" t="str">
        <f>IF(LEN(A102)=0,"",INDEX('Smelter Look-up'!$A:$A,MATCH($A102,'Smelter Look-up'!$E:$E,0)))</f>
        <v/>
      </c>
      <c r="C102" s="179" t="str">
        <f>IF(LEN(A102)=0,"",INDEX('Smelter Look-up'!$C:$C,MATCH($A102,'Smelter Look-up'!$E:$E,0)))</f>
        <v/>
      </c>
      <c r="D102" s="222"/>
      <c r="E102" s="175" t="str">
        <f ca="1">IF(ISERROR($V102),"",OFFSET('Smelter Look-up'!$D$4,$V102-4,0)&amp;"")</f>
        <v/>
      </c>
      <c r="F102" s="175" t="str">
        <f ca="1">IF(ISERROR($V102),"",OFFSET('Smelter Look-up'!$E$4,$V102-4,0))</f>
        <v/>
      </c>
      <c r="G102" s="175" t="str">
        <f ca="1">IF(C102=$X$4,IF(ISERROR($V102),"Enter smelter details","RMI"),IF(ISERROR($V102),"",OFFSET('Smelter Look-up'!$F$4,$V102-4,0)))</f>
        <v/>
      </c>
      <c r="H102" s="176" t="str">
        <f ca="1">IF(ISERROR($V102),"",OFFSET('Smelter Look-up'!$G$4,$V102-4,0))</f>
        <v/>
      </c>
      <c r="I102" s="177" t="str">
        <f ca="1">IF(ISERROR($V102),"",OFFSET('Smelter Look-up'!$H$4,$V102-4,0))</f>
        <v/>
      </c>
      <c r="J102" s="177" t="str">
        <f ca="1">IF(ISERROR($V102),"",OFFSET('Smelter Look-up'!$I$4,$V102-4,0))</f>
        <v/>
      </c>
      <c r="K102" s="216"/>
      <c r="L102" s="216"/>
      <c r="M102" s="216"/>
      <c r="N102" s="216"/>
      <c r="O102" s="216"/>
      <c r="P102" s="178"/>
      <c r="Q102" s="217"/>
      <c r="R102" s="175" t="str">
        <f ca="1">IF(ISERROR($V102),"",OFFSET('Smelter Look-up'!$C$4,$V102-4,0)&amp;"")</f>
        <v/>
      </c>
      <c r="S102" s="174" t="str">
        <f t="shared" ref="S102:S132" ca="1" si="15">IF(B102="","",IF(ISERROR(MATCH($E102,CL,0)),"Unknown",INDIRECT("'C'!$A$"&amp;MATCH($E102,CL,0)+1)))</f>
        <v/>
      </c>
      <c r="T102" s="174" t="str">
        <f ca="1">IF(B102="","",IF(ISERROR(MATCH($J102,SorP!$B$1:$B$6279,0)),"",INDIRECT("'SorP'!$A$"&amp;MATCH($S102&amp;$J102,SorP!C:C,0))))</f>
        <v/>
      </c>
      <c r="U102" s="194"/>
      <c r="V102" s="218" t="e">
        <f>IF(C102="",NA(),IF(OR(C102="Smelter not listed",C102="Smelter not yet identified"),MATCH($B102&amp;$D102,'Smelter Look-up'!$J:$J,0),MATCH($B102&amp;$C102,'Smelter Look-up'!$J:$J,0)))</f>
        <v>#N/A</v>
      </c>
      <c r="X102" s="219">
        <f t="shared" ref="X102:X132" ca="1" si="16">IF(AND(C102="Smelter not listed",OR(LEN(D102)=0,LEN(E102)=0)),1,0)</f>
        <v>0</v>
      </c>
      <c r="AB102" s="220" t="str">
        <f t="shared" ref="AB102:AB132" si="17">B102&amp;C102</f>
        <v/>
      </c>
    </row>
    <row r="103" spans="1:28" s="219" customFormat="1" ht="20.25">
      <c r="A103" s="174"/>
      <c r="B103" s="175" t="str">
        <f>IF(LEN(A103)=0,"",INDEX('Smelter Look-up'!$A:$A,MATCH($A103,'Smelter Look-up'!$E:$E,0)))</f>
        <v/>
      </c>
      <c r="C103" s="179" t="str">
        <f>IF(LEN(A103)=0,"",INDEX('Smelter Look-up'!$C:$C,MATCH($A103,'Smelter Look-up'!$E:$E,0)))</f>
        <v/>
      </c>
      <c r="D103" s="222"/>
      <c r="E103" s="175" t="str">
        <f ca="1">IF(ISERROR($V103),"",OFFSET('Smelter Look-up'!$D$4,$V103-4,0)&amp;"")</f>
        <v/>
      </c>
      <c r="F103" s="175" t="str">
        <f ca="1">IF(ISERROR($V103),"",OFFSET('Smelter Look-up'!$E$4,$V103-4,0))</f>
        <v/>
      </c>
      <c r="G103" s="175" t="str">
        <f ca="1">IF(C103=$X$4,IF(ISERROR($V103),"Enter smelter details","RMI"),IF(ISERROR($V103),"",OFFSET('Smelter Look-up'!$F$4,$V103-4,0)))</f>
        <v/>
      </c>
      <c r="H103" s="176" t="str">
        <f ca="1">IF(ISERROR($V103),"",OFFSET('Smelter Look-up'!$G$4,$V103-4,0))</f>
        <v/>
      </c>
      <c r="I103" s="177" t="str">
        <f ca="1">IF(ISERROR($V103),"",OFFSET('Smelter Look-up'!$H$4,$V103-4,0))</f>
        <v/>
      </c>
      <c r="J103" s="177" t="str">
        <f ca="1">IF(ISERROR($V103),"",OFFSET('Smelter Look-up'!$I$4,$V103-4,0))</f>
        <v/>
      </c>
      <c r="K103" s="216"/>
      <c r="L103" s="216"/>
      <c r="M103" s="216"/>
      <c r="N103" s="216"/>
      <c r="O103" s="216"/>
      <c r="P103" s="178"/>
      <c r="Q103" s="217"/>
      <c r="R103" s="175" t="str">
        <f ca="1">IF(ISERROR($V103),"",OFFSET('Smelter Look-up'!$C$4,$V103-4,0)&amp;"")</f>
        <v/>
      </c>
      <c r="S103" s="174" t="str">
        <f t="shared" ca="1" si="15"/>
        <v/>
      </c>
      <c r="T103" s="174" t="str">
        <f ca="1">IF(B103="","",IF(ISERROR(MATCH($J103,SorP!$B$1:$B$6279,0)),"",INDIRECT("'SorP'!$A$"&amp;MATCH($S103&amp;$J103,SorP!C:C,0))))</f>
        <v/>
      </c>
      <c r="U103" s="194"/>
      <c r="V103" s="218" t="e">
        <f>IF(C103="",NA(),IF(OR(C103="Smelter not listed",C103="Smelter not yet identified"),MATCH($B103&amp;$D103,'Smelter Look-up'!$J:$J,0),MATCH($B103&amp;$C103,'Smelter Look-up'!$J:$J,0)))</f>
        <v>#N/A</v>
      </c>
      <c r="X103" s="219">
        <f t="shared" ca="1" si="16"/>
        <v>0</v>
      </c>
      <c r="AB103" s="220" t="str">
        <f t="shared" si="17"/>
        <v/>
      </c>
    </row>
    <row r="104" spans="1:28" s="219" customFormat="1" ht="20.25">
      <c r="A104" s="174"/>
      <c r="B104" s="175" t="str">
        <f>IF(LEN(A104)=0,"",INDEX('Smelter Look-up'!$A:$A,MATCH($A104,'Smelter Look-up'!$E:$E,0)))</f>
        <v/>
      </c>
      <c r="C104" s="179" t="str">
        <f>IF(LEN(A104)=0,"",INDEX('Smelter Look-up'!$C:$C,MATCH($A104,'Smelter Look-up'!$E:$E,0)))</f>
        <v/>
      </c>
      <c r="D104" s="222"/>
      <c r="E104" s="175" t="str">
        <f ca="1">IF(ISERROR($V104),"",OFFSET('Smelter Look-up'!$D$4,$V104-4,0)&amp;"")</f>
        <v/>
      </c>
      <c r="F104" s="175" t="str">
        <f ca="1">IF(ISERROR($V104),"",OFFSET('Smelter Look-up'!$E$4,$V104-4,0))</f>
        <v/>
      </c>
      <c r="G104" s="175" t="str">
        <f ca="1">IF(C104=$X$4,IF(ISERROR($V104),"Enter smelter details","RMI"),IF(ISERROR($V104),"",OFFSET('Smelter Look-up'!$F$4,$V104-4,0)))</f>
        <v/>
      </c>
      <c r="H104" s="176" t="str">
        <f ca="1">IF(ISERROR($V104),"",OFFSET('Smelter Look-up'!$G$4,$V104-4,0))</f>
        <v/>
      </c>
      <c r="I104" s="177" t="str">
        <f ca="1">IF(ISERROR($V104),"",OFFSET('Smelter Look-up'!$H$4,$V104-4,0))</f>
        <v/>
      </c>
      <c r="J104" s="177" t="str">
        <f ca="1">IF(ISERROR($V104),"",OFFSET('Smelter Look-up'!$I$4,$V104-4,0))</f>
        <v/>
      </c>
      <c r="K104" s="216"/>
      <c r="L104" s="216"/>
      <c r="M104" s="216"/>
      <c r="N104" s="216"/>
      <c r="O104" s="216"/>
      <c r="P104" s="178"/>
      <c r="Q104" s="217"/>
      <c r="R104" s="175" t="str">
        <f ca="1">IF(ISERROR($V104),"",OFFSET('Smelter Look-up'!$C$4,$V104-4,0)&amp;"")</f>
        <v/>
      </c>
      <c r="S104" s="174" t="str">
        <f t="shared" ca="1" si="15"/>
        <v/>
      </c>
      <c r="T104" s="174" t="str">
        <f ca="1">IF(B104="","",IF(ISERROR(MATCH($J104,SorP!$B$1:$B$6279,0)),"",INDIRECT("'SorP'!$A$"&amp;MATCH($S104&amp;$J104,SorP!C:C,0))))</f>
        <v/>
      </c>
      <c r="U104" s="194"/>
      <c r="V104" s="218" t="e">
        <f>IF(C104="",NA(),IF(OR(C104="Smelter not listed",C104="Smelter not yet identified"),MATCH($B104&amp;$D104,'Smelter Look-up'!$J:$J,0),MATCH($B104&amp;$C104,'Smelter Look-up'!$J:$J,0)))</f>
        <v>#N/A</v>
      </c>
      <c r="X104" s="219">
        <f t="shared" ca="1" si="16"/>
        <v>0</v>
      </c>
      <c r="AB104" s="220" t="str">
        <f t="shared" si="17"/>
        <v/>
      </c>
    </row>
    <row r="105" spans="1:28" s="219" customFormat="1" ht="20.25">
      <c r="A105" s="174"/>
      <c r="B105" s="175" t="str">
        <f>IF(LEN(A105)=0,"",INDEX('Smelter Look-up'!$A:$A,MATCH($A105,'Smelter Look-up'!$E:$E,0)))</f>
        <v/>
      </c>
      <c r="C105" s="179" t="str">
        <f>IF(LEN(A105)=0,"",INDEX('Smelter Look-up'!$C:$C,MATCH($A105,'Smelter Look-up'!$E:$E,0)))</f>
        <v/>
      </c>
      <c r="D105" s="222"/>
      <c r="E105" s="175" t="str">
        <f ca="1">IF(ISERROR($V105),"",OFFSET('Smelter Look-up'!$D$4,$V105-4,0)&amp;"")</f>
        <v/>
      </c>
      <c r="F105" s="175" t="str">
        <f ca="1">IF(ISERROR($V105),"",OFFSET('Smelter Look-up'!$E$4,$V105-4,0))</f>
        <v/>
      </c>
      <c r="G105" s="175" t="str">
        <f ca="1">IF(C105=$X$4,IF(ISERROR($V105),"Enter smelter details","RMI"),IF(ISERROR($V105),"",OFFSET('Smelter Look-up'!$F$4,$V105-4,0)))</f>
        <v/>
      </c>
      <c r="H105" s="176" t="str">
        <f ca="1">IF(ISERROR($V105),"",OFFSET('Smelter Look-up'!$G$4,$V105-4,0))</f>
        <v/>
      </c>
      <c r="I105" s="177" t="str">
        <f ca="1">IF(ISERROR($V105),"",OFFSET('Smelter Look-up'!$H$4,$V105-4,0))</f>
        <v/>
      </c>
      <c r="J105" s="177" t="str">
        <f ca="1">IF(ISERROR($V105),"",OFFSET('Smelter Look-up'!$I$4,$V105-4,0))</f>
        <v/>
      </c>
      <c r="K105" s="216"/>
      <c r="L105" s="216"/>
      <c r="M105" s="216"/>
      <c r="N105" s="216"/>
      <c r="O105" s="216"/>
      <c r="P105" s="178"/>
      <c r="Q105" s="217"/>
      <c r="R105" s="175" t="str">
        <f ca="1">IF(ISERROR($V105),"",OFFSET('Smelter Look-up'!$C$4,$V105-4,0)&amp;"")</f>
        <v/>
      </c>
      <c r="S105" s="174" t="str">
        <f t="shared" ca="1" si="15"/>
        <v/>
      </c>
      <c r="T105" s="174" t="str">
        <f ca="1">IF(B105="","",IF(ISERROR(MATCH($J105,SorP!$B$1:$B$6279,0)),"",INDIRECT("'SorP'!$A$"&amp;MATCH($S105&amp;$J105,SorP!C:C,0))))</f>
        <v/>
      </c>
      <c r="U105" s="194"/>
      <c r="V105" s="218" t="e">
        <f>IF(C105="",NA(),IF(OR(C105="Smelter not listed",C105="Smelter not yet identified"),MATCH($B105&amp;$D105,'Smelter Look-up'!$J:$J,0),MATCH($B105&amp;$C105,'Smelter Look-up'!$J:$J,0)))</f>
        <v>#N/A</v>
      </c>
      <c r="X105" s="219">
        <f t="shared" ca="1" si="16"/>
        <v>0</v>
      </c>
      <c r="AB105" s="220" t="str">
        <f t="shared" si="17"/>
        <v/>
      </c>
    </row>
    <row r="106" spans="1:28" s="219" customFormat="1" ht="20.25">
      <c r="A106" s="174"/>
      <c r="B106" s="175" t="str">
        <f>IF(LEN(A106)=0,"",INDEX('Smelter Look-up'!$A:$A,MATCH($A106,'Smelter Look-up'!$E:$E,0)))</f>
        <v/>
      </c>
      <c r="C106" s="179" t="str">
        <f>IF(LEN(A106)=0,"",INDEX('Smelter Look-up'!$C:$C,MATCH($A106,'Smelter Look-up'!$E:$E,0)))</f>
        <v/>
      </c>
      <c r="D106" s="222"/>
      <c r="E106" s="175" t="str">
        <f ca="1">IF(ISERROR($V106),"",OFFSET('Smelter Look-up'!$D$4,$V106-4,0)&amp;"")</f>
        <v/>
      </c>
      <c r="F106" s="175" t="str">
        <f ca="1">IF(ISERROR($V106),"",OFFSET('Smelter Look-up'!$E$4,$V106-4,0))</f>
        <v/>
      </c>
      <c r="G106" s="175" t="str">
        <f ca="1">IF(C106=$X$4,IF(ISERROR($V106),"Enter smelter details","RMI"),IF(ISERROR($V106),"",OFFSET('Smelter Look-up'!$F$4,$V106-4,0)))</f>
        <v/>
      </c>
      <c r="H106" s="176" t="str">
        <f ca="1">IF(ISERROR($V106),"",OFFSET('Smelter Look-up'!$G$4,$V106-4,0))</f>
        <v/>
      </c>
      <c r="I106" s="177" t="str">
        <f ca="1">IF(ISERROR($V106),"",OFFSET('Smelter Look-up'!$H$4,$V106-4,0))</f>
        <v/>
      </c>
      <c r="J106" s="177" t="str">
        <f ca="1">IF(ISERROR($V106),"",OFFSET('Smelter Look-up'!$I$4,$V106-4,0))</f>
        <v/>
      </c>
      <c r="K106" s="216"/>
      <c r="L106" s="216"/>
      <c r="M106" s="216"/>
      <c r="N106" s="216"/>
      <c r="O106" s="216"/>
      <c r="P106" s="178"/>
      <c r="Q106" s="217"/>
      <c r="R106" s="175" t="str">
        <f ca="1">IF(ISERROR($V106),"",OFFSET('Smelter Look-up'!$C$4,$V106-4,0)&amp;"")</f>
        <v/>
      </c>
      <c r="S106" s="174" t="str">
        <f t="shared" ca="1" si="15"/>
        <v/>
      </c>
      <c r="T106" s="174" t="str">
        <f ca="1">IF(B106="","",IF(ISERROR(MATCH($J106,SorP!$B$1:$B$6279,0)),"",INDIRECT("'SorP'!$A$"&amp;MATCH($S106&amp;$J106,SorP!C:C,0))))</f>
        <v/>
      </c>
      <c r="U106" s="194"/>
      <c r="V106" s="218" t="e">
        <f>IF(C106="",NA(),IF(OR(C106="Smelter not listed",C106="Smelter not yet identified"),MATCH($B106&amp;$D106,'Smelter Look-up'!$J:$J,0),MATCH($B106&amp;$C106,'Smelter Look-up'!$J:$J,0)))</f>
        <v>#N/A</v>
      </c>
      <c r="X106" s="219">
        <f t="shared" ca="1" si="16"/>
        <v>0</v>
      </c>
      <c r="AB106" s="220" t="str">
        <f t="shared" si="17"/>
        <v/>
      </c>
    </row>
    <row r="107" spans="1:28" s="219" customFormat="1" ht="20.25">
      <c r="A107" s="174"/>
      <c r="B107" s="175" t="str">
        <f>IF(LEN(A107)=0,"",INDEX('Smelter Look-up'!$A:$A,MATCH($A107,'Smelter Look-up'!$E:$E,0)))</f>
        <v/>
      </c>
      <c r="C107" s="179" t="str">
        <f>IF(LEN(A107)=0,"",INDEX('Smelter Look-up'!$C:$C,MATCH($A107,'Smelter Look-up'!$E:$E,0)))</f>
        <v/>
      </c>
      <c r="D107" s="222"/>
      <c r="E107" s="175" t="str">
        <f ca="1">IF(ISERROR($V107),"",OFFSET('Smelter Look-up'!$D$4,$V107-4,0)&amp;"")</f>
        <v/>
      </c>
      <c r="F107" s="175" t="str">
        <f ca="1">IF(ISERROR($V107),"",OFFSET('Smelter Look-up'!$E$4,$V107-4,0))</f>
        <v/>
      </c>
      <c r="G107" s="175" t="str">
        <f ca="1">IF(C107=$X$4,IF(ISERROR($V107),"Enter smelter details","RMI"),IF(ISERROR($V107),"",OFFSET('Smelter Look-up'!$F$4,$V107-4,0)))</f>
        <v/>
      </c>
      <c r="H107" s="176" t="str">
        <f ca="1">IF(ISERROR($V107),"",OFFSET('Smelter Look-up'!$G$4,$V107-4,0))</f>
        <v/>
      </c>
      <c r="I107" s="177" t="str">
        <f ca="1">IF(ISERROR($V107),"",OFFSET('Smelter Look-up'!$H$4,$V107-4,0))</f>
        <v/>
      </c>
      <c r="J107" s="177" t="str">
        <f ca="1">IF(ISERROR($V107),"",OFFSET('Smelter Look-up'!$I$4,$V107-4,0))</f>
        <v/>
      </c>
      <c r="K107" s="216"/>
      <c r="L107" s="216"/>
      <c r="M107" s="216"/>
      <c r="N107" s="216"/>
      <c r="O107" s="216"/>
      <c r="P107" s="178"/>
      <c r="Q107" s="217"/>
      <c r="R107" s="175" t="str">
        <f ca="1">IF(ISERROR($V107),"",OFFSET('Smelter Look-up'!$C$4,$V107-4,0)&amp;"")</f>
        <v/>
      </c>
      <c r="S107" s="174" t="str">
        <f t="shared" ca="1" si="15"/>
        <v/>
      </c>
      <c r="T107" s="174" t="str">
        <f ca="1">IF(B107="","",IF(ISERROR(MATCH($J107,SorP!$B$1:$B$6279,0)),"",INDIRECT("'SorP'!$A$"&amp;MATCH($S107&amp;$J107,SorP!C:C,0))))</f>
        <v/>
      </c>
      <c r="U107" s="194"/>
      <c r="V107" s="218" t="e">
        <f>IF(C107="",NA(),IF(OR(C107="Smelter not listed",C107="Smelter not yet identified"),MATCH($B107&amp;$D107,'Smelter Look-up'!$J:$J,0),MATCH($B107&amp;$C107,'Smelter Look-up'!$J:$J,0)))</f>
        <v>#N/A</v>
      </c>
      <c r="X107" s="219">
        <f t="shared" ca="1" si="16"/>
        <v>0</v>
      </c>
      <c r="AB107" s="220" t="str">
        <f t="shared" si="17"/>
        <v/>
      </c>
    </row>
    <row r="108" spans="1:28" s="219" customFormat="1" ht="20.25">
      <c r="A108" s="174"/>
      <c r="B108" s="175" t="str">
        <f>IF(LEN(A108)=0,"",INDEX('Smelter Look-up'!$A:$A,MATCH($A108,'Smelter Look-up'!$E:$E,0)))</f>
        <v/>
      </c>
      <c r="C108" s="179" t="str">
        <f>IF(LEN(A108)=0,"",INDEX('Smelter Look-up'!$C:$C,MATCH($A108,'Smelter Look-up'!$E:$E,0)))</f>
        <v/>
      </c>
      <c r="D108" s="222"/>
      <c r="E108" s="175" t="str">
        <f ca="1">IF(ISERROR($V108),"",OFFSET('Smelter Look-up'!$D$4,$V108-4,0)&amp;"")</f>
        <v/>
      </c>
      <c r="F108" s="175" t="str">
        <f ca="1">IF(ISERROR($V108),"",OFFSET('Smelter Look-up'!$E$4,$V108-4,0))</f>
        <v/>
      </c>
      <c r="G108" s="175" t="str">
        <f ca="1">IF(C108=$X$4,IF(ISERROR($V108),"Enter smelter details","RMI"),IF(ISERROR($V108),"",OFFSET('Smelter Look-up'!$F$4,$V108-4,0)))</f>
        <v/>
      </c>
      <c r="H108" s="176" t="str">
        <f ca="1">IF(ISERROR($V108),"",OFFSET('Smelter Look-up'!$G$4,$V108-4,0))</f>
        <v/>
      </c>
      <c r="I108" s="177" t="str">
        <f ca="1">IF(ISERROR($V108),"",OFFSET('Smelter Look-up'!$H$4,$V108-4,0))</f>
        <v/>
      </c>
      <c r="J108" s="177" t="str">
        <f ca="1">IF(ISERROR($V108),"",OFFSET('Smelter Look-up'!$I$4,$V108-4,0))</f>
        <v/>
      </c>
      <c r="K108" s="216"/>
      <c r="L108" s="216"/>
      <c r="M108" s="216"/>
      <c r="N108" s="216"/>
      <c r="O108" s="216"/>
      <c r="P108" s="178"/>
      <c r="Q108" s="217"/>
      <c r="R108" s="175" t="str">
        <f ca="1">IF(ISERROR($V108),"",OFFSET('Smelter Look-up'!$C$4,$V108-4,0)&amp;"")</f>
        <v/>
      </c>
      <c r="S108" s="174" t="str">
        <f t="shared" ca="1" si="15"/>
        <v/>
      </c>
      <c r="T108" s="174" t="str">
        <f ca="1">IF(B108="","",IF(ISERROR(MATCH($J108,SorP!$B$1:$B$6279,0)),"",INDIRECT("'SorP'!$A$"&amp;MATCH($S108&amp;$J108,SorP!C:C,0))))</f>
        <v/>
      </c>
      <c r="U108" s="194"/>
      <c r="V108" s="218" t="e">
        <f>IF(C108="",NA(),IF(OR(C108="Smelter not listed",C108="Smelter not yet identified"),MATCH($B108&amp;$D108,'Smelter Look-up'!$J:$J,0),MATCH($B108&amp;$C108,'Smelter Look-up'!$J:$J,0)))</f>
        <v>#N/A</v>
      </c>
      <c r="X108" s="219">
        <f t="shared" ca="1" si="16"/>
        <v>0</v>
      </c>
      <c r="AB108" s="220" t="str">
        <f t="shared" si="17"/>
        <v/>
      </c>
    </row>
    <row r="109" spans="1:28" s="219" customFormat="1" ht="20.25">
      <c r="A109" s="174"/>
      <c r="B109" s="175" t="str">
        <f>IF(LEN(A109)=0,"",INDEX('Smelter Look-up'!$A:$A,MATCH($A109,'Smelter Look-up'!$E:$E,0)))</f>
        <v/>
      </c>
      <c r="C109" s="179" t="str">
        <f>IF(LEN(A109)=0,"",INDEX('Smelter Look-up'!$C:$C,MATCH($A109,'Smelter Look-up'!$E:$E,0)))</f>
        <v/>
      </c>
      <c r="D109" s="222"/>
      <c r="E109" s="175" t="str">
        <f ca="1">IF(ISERROR($V109),"",OFFSET('Smelter Look-up'!$D$4,$V109-4,0)&amp;"")</f>
        <v/>
      </c>
      <c r="F109" s="175" t="str">
        <f ca="1">IF(ISERROR($V109),"",OFFSET('Smelter Look-up'!$E$4,$V109-4,0))</f>
        <v/>
      </c>
      <c r="G109" s="175" t="str">
        <f ca="1">IF(C109=$X$4,IF(ISERROR($V109),"Enter smelter details","RMI"),IF(ISERROR($V109),"",OFFSET('Smelter Look-up'!$F$4,$V109-4,0)))</f>
        <v/>
      </c>
      <c r="H109" s="176" t="str">
        <f ca="1">IF(ISERROR($V109),"",OFFSET('Smelter Look-up'!$G$4,$V109-4,0))</f>
        <v/>
      </c>
      <c r="I109" s="177" t="str">
        <f ca="1">IF(ISERROR($V109),"",OFFSET('Smelter Look-up'!$H$4,$V109-4,0))</f>
        <v/>
      </c>
      <c r="J109" s="177" t="str">
        <f ca="1">IF(ISERROR($V109),"",OFFSET('Smelter Look-up'!$I$4,$V109-4,0))</f>
        <v/>
      </c>
      <c r="K109" s="216"/>
      <c r="L109" s="216"/>
      <c r="M109" s="216"/>
      <c r="N109" s="216"/>
      <c r="O109" s="216"/>
      <c r="P109" s="178"/>
      <c r="Q109" s="217"/>
      <c r="R109" s="175" t="str">
        <f ca="1">IF(ISERROR($V109),"",OFFSET('Smelter Look-up'!$C$4,$V109-4,0)&amp;"")</f>
        <v/>
      </c>
      <c r="S109" s="174" t="str">
        <f t="shared" ca="1" si="15"/>
        <v/>
      </c>
      <c r="T109" s="174" t="str">
        <f ca="1">IF(B109="","",IF(ISERROR(MATCH($J109,SorP!$B$1:$B$6279,0)),"",INDIRECT("'SorP'!$A$"&amp;MATCH($S109&amp;$J109,SorP!C:C,0))))</f>
        <v/>
      </c>
      <c r="U109" s="194"/>
      <c r="V109" s="218" t="e">
        <f>IF(C109="",NA(),IF(OR(C109="Smelter not listed",C109="Smelter not yet identified"),MATCH($B109&amp;$D109,'Smelter Look-up'!$J:$J,0),MATCH($B109&amp;$C109,'Smelter Look-up'!$J:$J,0)))</f>
        <v>#N/A</v>
      </c>
      <c r="X109" s="219">
        <f t="shared" ca="1" si="16"/>
        <v>0</v>
      </c>
      <c r="AB109" s="220" t="str">
        <f t="shared" si="17"/>
        <v/>
      </c>
    </row>
    <row r="110" spans="1:28" s="219" customFormat="1" ht="20.25">
      <c r="A110" s="174"/>
      <c r="B110" s="175" t="str">
        <f>IF(LEN(A110)=0,"",INDEX('Smelter Look-up'!$A:$A,MATCH($A110,'Smelter Look-up'!$E:$E,0)))</f>
        <v/>
      </c>
      <c r="C110" s="179" t="str">
        <f>IF(LEN(A110)=0,"",INDEX('Smelter Look-up'!$C:$C,MATCH($A110,'Smelter Look-up'!$E:$E,0)))</f>
        <v/>
      </c>
      <c r="D110" s="222"/>
      <c r="E110" s="175" t="str">
        <f ca="1">IF(ISERROR($V110),"",OFFSET('Smelter Look-up'!$D$4,$V110-4,0)&amp;"")</f>
        <v/>
      </c>
      <c r="F110" s="175" t="str">
        <f ca="1">IF(ISERROR($V110),"",OFFSET('Smelter Look-up'!$E$4,$V110-4,0))</f>
        <v/>
      </c>
      <c r="G110" s="175" t="str">
        <f ca="1">IF(C110=$X$4,IF(ISERROR($V110),"Enter smelter details","RMI"),IF(ISERROR($V110),"",OFFSET('Smelter Look-up'!$F$4,$V110-4,0)))</f>
        <v/>
      </c>
      <c r="H110" s="176" t="str">
        <f ca="1">IF(ISERROR($V110),"",OFFSET('Smelter Look-up'!$G$4,$V110-4,0))</f>
        <v/>
      </c>
      <c r="I110" s="177" t="str">
        <f ca="1">IF(ISERROR($V110),"",OFFSET('Smelter Look-up'!$H$4,$V110-4,0))</f>
        <v/>
      </c>
      <c r="J110" s="177" t="str">
        <f ca="1">IF(ISERROR($V110),"",OFFSET('Smelter Look-up'!$I$4,$V110-4,0))</f>
        <v/>
      </c>
      <c r="K110" s="216"/>
      <c r="L110" s="216"/>
      <c r="M110" s="216"/>
      <c r="N110" s="216"/>
      <c r="O110" s="216"/>
      <c r="P110" s="178"/>
      <c r="Q110" s="217"/>
      <c r="R110" s="175" t="str">
        <f ca="1">IF(ISERROR($V110),"",OFFSET('Smelter Look-up'!$C$4,$V110-4,0)&amp;"")</f>
        <v/>
      </c>
      <c r="S110" s="174" t="str">
        <f t="shared" ca="1" si="15"/>
        <v/>
      </c>
      <c r="T110" s="174" t="str">
        <f ca="1">IF(B110="","",IF(ISERROR(MATCH($J110,SorP!$B$1:$B$6279,0)),"",INDIRECT("'SorP'!$A$"&amp;MATCH($S110&amp;$J110,SorP!C:C,0))))</f>
        <v/>
      </c>
      <c r="U110" s="194"/>
      <c r="V110" s="218" t="e">
        <f>IF(C110="",NA(),IF(OR(C110="Smelter not listed",C110="Smelter not yet identified"),MATCH($B110&amp;$D110,'Smelter Look-up'!$J:$J,0),MATCH($B110&amp;$C110,'Smelter Look-up'!$J:$J,0)))</f>
        <v>#N/A</v>
      </c>
      <c r="X110" s="219">
        <f t="shared" ca="1" si="16"/>
        <v>0</v>
      </c>
      <c r="AB110" s="220" t="str">
        <f t="shared" si="17"/>
        <v/>
      </c>
    </row>
    <row r="111" spans="1:28" s="219" customFormat="1" ht="20.25">
      <c r="A111" s="174"/>
      <c r="B111" s="175" t="str">
        <f>IF(LEN(A111)=0,"",INDEX('Smelter Look-up'!$A:$A,MATCH($A111,'Smelter Look-up'!$E:$E,0)))</f>
        <v/>
      </c>
      <c r="C111" s="179" t="str">
        <f>IF(LEN(A111)=0,"",INDEX('Smelter Look-up'!$C:$C,MATCH($A111,'Smelter Look-up'!$E:$E,0)))</f>
        <v/>
      </c>
      <c r="D111" s="222"/>
      <c r="E111" s="175" t="str">
        <f ca="1">IF(ISERROR($V111),"",OFFSET('Smelter Look-up'!$D$4,$V111-4,0)&amp;"")</f>
        <v/>
      </c>
      <c r="F111" s="175" t="str">
        <f ca="1">IF(ISERROR($V111),"",OFFSET('Smelter Look-up'!$E$4,$V111-4,0))</f>
        <v/>
      </c>
      <c r="G111" s="175" t="str">
        <f ca="1">IF(C111=$X$4,IF(ISERROR($V111),"Enter smelter details","RMI"),IF(ISERROR($V111),"",OFFSET('Smelter Look-up'!$F$4,$V111-4,0)))</f>
        <v/>
      </c>
      <c r="H111" s="176" t="str">
        <f ca="1">IF(ISERROR($V111),"",OFFSET('Smelter Look-up'!$G$4,$V111-4,0))</f>
        <v/>
      </c>
      <c r="I111" s="177" t="str">
        <f ca="1">IF(ISERROR($V111),"",OFFSET('Smelter Look-up'!$H$4,$V111-4,0))</f>
        <v/>
      </c>
      <c r="J111" s="177" t="str">
        <f ca="1">IF(ISERROR($V111),"",OFFSET('Smelter Look-up'!$I$4,$V111-4,0))</f>
        <v/>
      </c>
      <c r="K111" s="216"/>
      <c r="L111" s="216"/>
      <c r="M111" s="216"/>
      <c r="N111" s="216"/>
      <c r="O111" s="216"/>
      <c r="P111" s="178"/>
      <c r="Q111" s="217"/>
      <c r="R111" s="175" t="str">
        <f ca="1">IF(ISERROR($V111),"",OFFSET('Smelter Look-up'!$C$4,$V111-4,0)&amp;"")</f>
        <v/>
      </c>
      <c r="S111" s="174" t="str">
        <f t="shared" ca="1" si="15"/>
        <v/>
      </c>
      <c r="T111" s="174" t="str">
        <f ca="1">IF(B111="","",IF(ISERROR(MATCH($J111,SorP!$B$1:$B$6279,0)),"",INDIRECT("'SorP'!$A$"&amp;MATCH($S111&amp;$J111,SorP!C:C,0))))</f>
        <v/>
      </c>
      <c r="U111" s="194"/>
      <c r="V111" s="218" t="e">
        <f>IF(C111="",NA(),IF(OR(C111="Smelter not listed",C111="Smelter not yet identified"),MATCH($B111&amp;$D111,'Smelter Look-up'!$J:$J,0),MATCH($B111&amp;$C111,'Smelter Look-up'!$J:$J,0)))</f>
        <v>#N/A</v>
      </c>
      <c r="X111" s="219">
        <f t="shared" ca="1" si="16"/>
        <v>0</v>
      </c>
      <c r="AB111" s="220" t="str">
        <f t="shared" si="17"/>
        <v/>
      </c>
    </row>
    <row r="112" spans="1:28" s="219" customFormat="1" ht="20.25">
      <c r="A112" s="174"/>
      <c r="B112" s="175" t="str">
        <f>IF(LEN(A112)=0,"",INDEX('Smelter Look-up'!$A:$A,MATCH($A112,'Smelter Look-up'!$E:$E,0)))</f>
        <v/>
      </c>
      <c r="C112" s="179" t="str">
        <f>IF(LEN(A112)=0,"",INDEX('Smelter Look-up'!$C:$C,MATCH($A112,'Smelter Look-up'!$E:$E,0)))</f>
        <v/>
      </c>
      <c r="D112" s="222"/>
      <c r="E112" s="175" t="str">
        <f ca="1">IF(ISERROR($V112),"",OFFSET('Smelter Look-up'!$D$4,$V112-4,0)&amp;"")</f>
        <v/>
      </c>
      <c r="F112" s="175" t="str">
        <f ca="1">IF(ISERROR($V112),"",OFFSET('Smelter Look-up'!$E$4,$V112-4,0))</f>
        <v/>
      </c>
      <c r="G112" s="175" t="str">
        <f ca="1">IF(C112=$X$4,IF(ISERROR($V112),"Enter smelter details","RMI"),IF(ISERROR($V112),"",OFFSET('Smelter Look-up'!$F$4,$V112-4,0)))</f>
        <v/>
      </c>
      <c r="H112" s="176" t="str">
        <f ca="1">IF(ISERROR($V112),"",OFFSET('Smelter Look-up'!$G$4,$V112-4,0))</f>
        <v/>
      </c>
      <c r="I112" s="177" t="str">
        <f ca="1">IF(ISERROR($V112),"",OFFSET('Smelter Look-up'!$H$4,$V112-4,0))</f>
        <v/>
      </c>
      <c r="J112" s="177" t="str">
        <f ca="1">IF(ISERROR($V112),"",OFFSET('Smelter Look-up'!$I$4,$V112-4,0))</f>
        <v/>
      </c>
      <c r="K112" s="216"/>
      <c r="L112" s="216"/>
      <c r="M112" s="216"/>
      <c r="N112" s="216"/>
      <c r="O112" s="216"/>
      <c r="P112" s="178"/>
      <c r="Q112" s="217"/>
      <c r="R112" s="175" t="str">
        <f ca="1">IF(ISERROR($V112),"",OFFSET('Smelter Look-up'!$C$4,$V112-4,0)&amp;"")</f>
        <v/>
      </c>
      <c r="S112" s="174" t="str">
        <f t="shared" ca="1" si="15"/>
        <v/>
      </c>
      <c r="T112" s="174" t="str">
        <f ca="1">IF(B112="","",IF(ISERROR(MATCH($J112,SorP!$B$1:$B$6279,0)),"",INDIRECT("'SorP'!$A$"&amp;MATCH($S112&amp;$J112,SorP!C:C,0))))</f>
        <v/>
      </c>
      <c r="U112" s="194"/>
      <c r="V112" s="218" t="e">
        <f>IF(C112="",NA(),IF(OR(C112="Smelter not listed",C112="Smelter not yet identified"),MATCH($B112&amp;$D112,'Smelter Look-up'!$J:$J,0),MATCH($B112&amp;$C112,'Smelter Look-up'!$J:$J,0)))</f>
        <v>#N/A</v>
      </c>
      <c r="X112" s="219">
        <f t="shared" ca="1" si="16"/>
        <v>0</v>
      </c>
      <c r="AB112" s="220" t="str">
        <f t="shared" si="17"/>
        <v/>
      </c>
    </row>
    <row r="113" spans="1:28" s="219" customFormat="1" ht="20.25">
      <c r="A113" s="174"/>
      <c r="B113" s="175" t="str">
        <f>IF(LEN(A113)=0,"",INDEX('Smelter Look-up'!$A:$A,MATCH($A113,'Smelter Look-up'!$E:$E,0)))</f>
        <v/>
      </c>
      <c r="C113" s="179" t="str">
        <f>IF(LEN(A113)=0,"",INDEX('Smelter Look-up'!$C:$C,MATCH($A113,'Smelter Look-up'!$E:$E,0)))</f>
        <v/>
      </c>
      <c r="D113" s="222"/>
      <c r="E113" s="175" t="str">
        <f ca="1">IF(ISERROR($V113),"",OFFSET('Smelter Look-up'!$D$4,$V113-4,0)&amp;"")</f>
        <v/>
      </c>
      <c r="F113" s="175" t="str">
        <f ca="1">IF(ISERROR($V113),"",OFFSET('Smelter Look-up'!$E$4,$V113-4,0))</f>
        <v/>
      </c>
      <c r="G113" s="175" t="str">
        <f ca="1">IF(C113=$X$4,IF(ISERROR($V113),"Enter smelter details","RMI"),IF(ISERROR($V113),"",OFFSET('Smelter Look-up'!$F$4,$V113-4,0)))</f>
        <v/>
      </c>
      <c r="H113" s="176" t="str">
        <f ca="1">IF(ISERROR($V113),"",OFFSET('Smelter Look-up'!$G$4,$V113-4,0))</f>
        <v/>
      </c>
      <c r="I113" s="177" t="str">
        <f ca="1">IF(ISERROR($V113),"",OFFSET('Smelter Look-up'!$H$4,$V113-4,0))</f>
        <v/>
      </c>
      <c r="J113" s="177" t="str">
        <f ca="1">IF(ISERROR($V113),"",OFFSET('Smelter Look-up'!$I$4,$V113-4,0))</f>
        <v/>
      </c>
      <c r="K113" s="216"/>
      <c r="L113" s="216"/>
      <c r="M113" s="216"/>
      <c r="N113" s="216"/>
      <c r="O113" s="216"/>
      <c r="P113" s="178"/>
      <c r="Q113" s="217"/>
      <c r="R113" s="175" t="str">
        <f ca="1">IF(ISERROR($V113),"",OFFSET('Smelter Look-up'!$C$4,$V113-4,0)&amp;"")</f>
        <v/>
      </c>
      <c r="S113" s="174" t="str">
        <f t="shared" ca="1" si="15"/>
        <v/>
      </c>
      <c r="T113" s="174" t="str">
        <f ca="1">IF(B113="","",IF(ISERROR(MATCH($J113,SorP!$B$1:$B$6279,0)),"",INDIRECT("'SorP'!$A$"&amp;MATCH($S113&amp;$J113,SorP!C:C,0))))</f>
        <v/>
      </c>
      <c r="U113" s="194"/>
      <c r="V113" s="218" t="e">
        <f>IF(C113="",NA(),IF(OR(C113="Smelter not listed",C113="Smelter not yet identified"),MATCH($B113&amp;$D113,'Smelter Look-up'!$J:$J,0),MATCH($B113&amp;$C113,'Smelter Look-up'!$J:$J,0)))</f>
        <v>#N/A</v>
      </c>
      <c r="X113" s="219">
        <f t="shared" ca="1" si="16"/>
        <v>0</v>
      </c>
      <c r="AB113" s="220" t="str">
        <f t="shared" si="17"/>
        <v/>
      </c>
    </row>
    <row r="114" spans="1:28" s="219" customFormat="1" ht="20.25">
      <c r="A114" s="174"/>
      <c r="B114" s="175" t="str">
        <f>IF(LEN(A114)=0,"",INDEX('Smelter Look-up'!$A:$A,MATCH($A114,'Smelter Look-up'!$E:$E,0)))</f>
        <v/>
      </c>
      <c r="C114" s="179" t="str">
        <f>IF(LEN(A114)=0,"",INDEX('Smelter Look-up'!$C:$C,MATCH($A114,'Smelter Look-up'!$E:$E,0)))</f>
        <v/>
      </c>
      <c r="D114" s="222"/>
      <c r="E114" s="175" t="str">
        <f ca="1">IF(ISERROR($V114),"",OFFSET('Smelter Look-up'!$D$4,$V114-4,0)&amp;"")</f>
        <v/>
      </c>
      <c r="F114" s="175" t="str">
        <f ca="1">IF(ISERROR($V114),"",OFFSET('Smelter Look-up'!$E$4,$V114-4,0))</f>
        <v/>
      </c>
      <c r="G114" s="175" t="str">
        <f ca="1">IF(C114=$X$4,IF(ISERROR($V114),"Enter smelter details","RMI"),IF(ISERROR($V114),"",OFFSET('Smelter Look-up'!$F$4,$V114-4,0)))</f>
        <v/>
      </c>
      <c r="H114" s="176" t="str">
        <f ca="1">IF(ISERROR($V114),"",OFFSET('Smelter Look-up'!$G$4,$V114-4,0))</f>
        <v/>
      </c>
      <c r="I114" s="177" t="str">
        <f ca="1">IF(ISERROR($V114),"",OFFSET('Smelter Look-up'!$H$4,$V114-4,0))</f>
        <v/>
      </c>
      <c r="J114" s="177" t="str">
        <f ca="1">IF(ISERROR($V114),"",OFFSET('Smelter Look-up'!$I$4,$V114-4,0))</f>
        <v/>
      </c>
      <c r="K114" s="216"/>
      <c r="L114" s="216"/>
      <c r="M114" s="216"/>
      <c r="N114" s="216"/>
      <c r="O114" s="216"/>
      <c r="P114" s="178"/>
      <c r="Q114" s="217"/>
      <c r="R114" s="175" t="str">
        <f ca="1">IF(ISERROR($V114),"",OFFSET('Smelter Look-up'!$C$4,$V114-4,0)&amp;"")</f>
        <v/>
      </c>
      <c r="S114" s="174" t="str">
        <f t="shared" ca="1" si="15"/>
        <v/>
      </c>
      <c r="T114" s="174" t="str">
        <f ca="1">IF(B114="","",IF(ISERROR(MATCH($J114,SorP!$B$1:$B$6279,0)),"",INDIRECT("'SorP'!$A$"&amp;MATCH($S114&amp;$J114,SorP!C:C,0))))</f>
        <v/>
      </c>
      <c r="U114" s="194"/>
      <c r="V114" s="218" t="e">
        <f>IF(C114="",NA(),IF(OR(C114="Smelter not listed",C114="Smelter not yet identified"),MATCH($B114&amp;$D114,'Smelter Look-up'!$J:$J,0),MATCH($B114&amp;$C114,'Smelter Look-up'!$J:$J,0)))</f>
        <v>#N/A</v>
      </c>
      <c r="X114" s="219">
        <f t="shared" ca="1" si="16"/>
        <v>0</v>
      </c>
      <c r="AB114" s="220" t="str">
        <f t="shared" si="17"/>
        <v/>
      </c>
    </row>
    <row r="115" spans="1:28" s="219" customFormat="1" ht="20.25">
      <c r="A115" s="174"/>
      <c r="B115" s="175" t="str">
        <f>IF(LEN(A115)=0,"",INDEX('Smelter Look-up'!$A:$A,MATCH($A115,'Smelter Look-up'!$E:$E,0)))</f>
        <v/>
      </c>
      <c r="C115" s="179" t="str">
        <f>IF(LEN(A115)=0,"",INDEX('Smelter Look-up'!$C:$C,MATCH($A115,'Smelter Look-up'!$E:$E,0)))</f>
        <v/>
      </c>
      <c r="D115" s="222"/>
      <c r="E115" s="175" t="str">
        <f ca="1">IF(ISERROR($V115),"",OFFSET('Smelter Look-up'!$D$4,$V115-4,0)&amp;"")</f>
        <v/>
      </c>
      <c r="F115" s="175" t="str">
        <f ca="1">IF(ISERROR($V115),"",OFFSET('Smelter Look-up'!$E$4,$V115-4,0))</f>
        <v/>
      </c>
      <c r="G115" s="175" t="str">
        <f ca="1">IF(C115=$X$4,IF(ISERROR($V115),"Enter smelter details","RMI"),IF(ISERROR($V115),"",OFFSET('Smelter Look-up'!$F$4,$V115-4,0)))</f>
        <v/>
      </c>
      <c r="H115" s="176" t="str">
        <f ca="1">IF(ISERROR($V115),"",OFFSET('Smelter Look-up'!$G$4,$V115-4,0))</f>
        <v/>
      </c>
      <c r="I115" s="177" t="str">
        <f ca="1">IF(ISERROR($V115),"",OFFSET('Smelter Look-up'!$H$4,$V115-4,0))</f>
        <v/>
      </c>
      <c r="J115" s="177" t="str">
        <f ca="1">IF(ISERROR($V115),"",OFFSET('Smelter Look-up'!$I$4,$V115-4,0))</f>
        <v/>
      </c>
      <c r="K115" s="216"/>
      <c r="L115" s="216"/>
      <c r="M115" s="216"/>
      <c r="N115" s="216"/>
      <c r="O115" s="216"/>
      <c r="P115" s="178"/>
      <c r="Q115" s="217"/>
      <c r="R115" s="175" t="str">
        <f ca="1">IF(ISERROR($V115),"",OFFSET('Smelter Look-up'!$C$4,$V115-4,0)&amp;"")</f>
        <v/>
      </c>
      <c r="S115" s="174" t="str">
        <f t="shared" ca="1" si="15"/>
        <v/>
      </c>
      <c r="T115" s="174" t="str">
        <f ca="1">IF(B115="","",IF(ISERROR(MATCH($J115,SorP!$B$1:$B$6279,0)),"",INDIRECT("'SorP'!$A$"&amp;MATCH($S115&amp;$J115,SorP!C:C,0))))</f>
        <v/>
      </c>
      <c r="U115" s="194"/>
      <c r="V115" s="218" t="e">
        <f>IF(C115="",NA(),IF(OR(C115="Smelter not listed",C115="Smelter not yet identified"),MATCH($B115&amp;$D115,'Smelter Look-up'!$J:$J,0),MATCH($B115&amp;$C115,'Smelter Look-up'!$J:$J,0)))</f>
        <v>#N/A</v>
      </c>
      <c r="X115" s="219">
        <f t="shared" ca="1" si="16"/>
        <v>0</v>
      </c>
      <c r="AB115" s="220" t="str">
        <f t="shared" si="17"/>
        <v/>
      </c>
    </row>
    <row r="116" spans="1:28" s="219" customFormat="1" ht="20.25">
      <c r="A116" s="174"/>
      <c r="B116" s="175" t="str">
        <f>IF(LEN(A116)=0,"",INDEX('Smelter Look-up'!$A:$A,MATCH($A116,'Smelter Look-up'!$E:$E,0)))</f>
        <v/>
      </c>
      <c r="C116" s="179" t="str">
        <f>IF(LEN(A116)=0,"",INDEX('Smelter Look-up'!$C:$C,MATCH($A116,'Smelter Look-up'!$E:$E,0)))</f>
        <v/>
      </c>
      <c r="D116" s="222"/>
      <c r="E116" s="175" t="str">
        <f ca="1">IF(ISERROR($V116),"",OFFSET('Smelter Look-up'!$D$4,$V116-4,0)&amp;"")</f>
        <v/>
      </c>
      <c r="F116" s="175" t="str">
        <f ca="1">IF(ISERROR($V116),"",OFFSET('Smelter Look-up'!$E$4,$V116-4,0))</f>
        <v/>
      </c>
      <c r="G116" s="175" t="str">
        <f ca="1">IF(C116=$X$4,IF(ISERROR($V116),"Enter smelter details","RMI"),IF(ISERROR($V116),"",OFFSET('Smelter Look-up'!$F$4,$V116-4,0)))</f>
        <v/>
      </c>
      <c r="H116" s="176" t="str">
        <f ca="1">IF(ISERROR($V116),"",OFFSET('Smelter Look-up'!$G$4,$V116-4,0))</f>
        <v/>
      </c>
      <c r="I116" s="177" t="str">
        <f ca="1">IF(ISERROR($V116),"",OFFSET('Smelter Look-up'!$H$4,$V116-4,0))</f>
        <v/>
      </c>
      <c r="J116" s="177" t="str">
        <f ca="1">IF(ISERROR($V116),"",OFFSET('Smelter Look-up'!$I$4,$V116-4,0))</f>
        <v/>
      </c>
      <c r="K116" s="216"/>
      <c r="L116" s="216"/>
      <c r="M116" s="216"/>
      <c r="N116" s="216"/>
      <c r="O116" s="216"/>
      <c r="P116" s="178"/>
      <c r="Q116" s="217"/>
      <c r="R116" s="175" t="str">
        <f ca="1">IF(ISERROR($V116),"",OFFSET('Smelter Look-up'!$C$4,$V116-4,0)&amp;"")</f>
        <v/>
      </c>
      <c r="S116" s="174" t="str">
        <f t="shared" ca="1" si="15"/>
        <v/>
      </c>
      <c r="T116" s="174" t="str">
        <f ca="1">IF(B116="","",IF(ISERROR(MATCH($J116,SorP!$B$1:$B$6279,0)),"",INDIRECT("'SorP'!$A$"&amp;MATCH($S116&amp;$J116,SorP!C:C,0))))</f>
        <v/>
      </c>
      <c r="U116" s="194"/>
      <c r="V116" s="218" t="e">
        <f>IF(C116="",NA(),IF(OR(C116="Smelter not listed",C116="Smelter not yet identified"),MATCH($B116&amp;$D116,'Smelter Look-up'!$J:$J,0),MATCH($B116&amp;$C116,'Smelter Look-up'!$J:$J,0)))</f>
        <v>#N/A</v>
      </c>
      <c r="X116" s="219">
        <f t="shared" ca="1" si="16"/>
        <v>0</v>
      </c>
      <c r="AB116" s="220" t="str">
        <f t="shared" si="17"/>
        <v/>
      </c>
    </row>
    <row r="117" spans="1:28" s="219" customFormat="1" ht="20.25">
      <c r="A117" s="174"/>
      <c r="B117" s="175" t="str">
        <f>IF(LEN(A117)=0,"",INDEX('Smelter Look-up'!$A:$A,MATCH($A117,'Smelter Look-up'!$E:$E,0)))</f>
        <v/>
      </c>
      <c r="C117" s="179" t="str">
        <f>IF(LEN(A117)=0,"",INDEX('Smelter Look-up'!$C:$C,MATCH($A117,'Smelter Look-up'!$E:$E,0)))</f>
        <v/>
      </c>
      <c r="D117" s="222"/>
      <c r="E117" s="175" t="str">
        <f ca="1">IF(ISERROR($V117),"",OFFSET('Smelter Look-up'!$D$4,$V117-4,0)&amp;"")</f>
        <v/>
      </c>
      <c r="F117" s="175" t="str">
        <f ca="1">IF(ISERROR($V117),"",OFFSET('Smelter Look-up'!$E$4,$V117-4,0))</f>
        <v/>
      </c>
      <c r="G117" s="175" t="str">
        <f ca="1">IF(C117=$X$4,IF(ISERROR($V117),"Enter smelter details","RMI"),IF(ISERROR($V117),"",OFFSET('Smelter Look-up'!$F$4,$V117-4,0)))</f>
        <v/>
      </c>
      <c r="H117" s="176" t="str">
        <f ca="1">IF(ISERROR($V117),"",OFFSET('Smelter Look-up'!$G$4,$V117-4,0))</f>
        <v/>
      </c>
      <c r="I117" s="177" t="str">
        <f ca="1">IF(ISERROR($V117),"",OFFSET('Smelter Look-up'!$H$4,$V117-4,0))</f>
        <v/>
      </c>
      <c r="J117" s="177" t="str">
        <f ca="1">IF(ISERROR($V117),"",OFFSET('Smelter Look-up'!$I$4,$V117-4,0))</f>
        <v/>
      </c>
      <c r="K117" s="216"/>
      <c r="L117" s="216"/>
      <c r="M117" s="216"/>
      <c r="N117" s="216"/>
      <c r="O117" s="216"/>
      <c r="P117" s="178"/>
      <c r="Q117" s="217"/>
      <c r="R117" s="175" t="str">
        <f ca="1">IF(ISERROR($V117),"",OFFSET('Smelter Look-up'!$C$4,$V117-4,0)&amp;"")</f>
        <v/>
      </c>
      <c r="S117" s="174" t="str">
        <f t="shared" ca="1" si="15"/>
        <v/>
      </c>
      <c r="T117" s="174" t="str">
        <f ca="1">IF(B117="","",IF(ISERROR(MATCH($J117,SorP!$B$1:$B$6279,0)),"",INDIRECT("'SorP'!$A$"&amp;MATCH($S117&amp;$J117,SorP!C:C,0))))</f>
        <v/>
      </c>
      <c r="U117" s="194"/>
      <c r="V117" s="218" t="e">
        <f>IF(C117="",NA(),IF(OR(C117="Smelter not listed",C117="Smelter not yet identified"),MATCH($B117&amp;$D117,'Smelter Look-up'!$J:$J,0),MATCH($B117&amp;$C117,'Smelter Look-up'!$J:$J,0)))</f>
        <v>#N/A</v>
      </c>
      <c r="X117" s="219">
        <f t="shared" ca="1" si="16"/>
        <v>0</v>
      </c>
      <c r="AB117" s="220" t="str">
        <f t="shared" si="17"/>
        <v/>
      </c>
    </row>
    <row r="118" spans="1:28" s="219" customFormat="1" ht="20.25">
      <c r="A118" s="174"/>
      <c r="B118" s="175" t="str">
        <f>IF(LEN(A118)=0,"",INDEX('Smelter Look-up'!$A:$A,MATCH($A118,'Smelter Look-up'!$E:$E,0)))</f>
        <v/>
      </c>
      <c r="C118" s="179" t="str">
        <f>IF(LEN(A118)=0,"",INDEX('Smelter Look-up'!$C:$C,MATCH($A118,'Smelter Look-up'!$E:$E,0)))</f>
        <v/>
      </c>
      <c r="D118" s="222"/>
      <c r="E118" s="175" t="str">
        <f ca="1">IF(ISERROR($V118),"",OFFSET('Smelter Look-up'!$D$4,$V118-4,0)&amp;"")</f>
        <v/>
      </c>
      <c r="F118" s="175" t="str">
        <f ca="1">IF(ISERROR($V118),"",OFFSET('Smelter Look-up'!$E$4,$V118-4,0))</f>
        <v/>
      </c>
      <c r="G118" s="175" t="str">
        <f ca="1">IF(C118=$X$4,IF(ISERROR($V118),"Enter smelter details","RMI"),IF(ISERROR($V118),"",OFFSET('Smelter Look-up'!$F$4,$V118-4,0)))</f>
        <v/>
      </c>
      <c r="H118" s="176" t="str">
        <f ca="1">IF(ISERROR($V118),"",OFFSET('Smelter Look-up'!$G$4,$V118-4,0))</f>
        <v/>
      </c>
      <c r="I118" s="177" t="str">
        <f ca="1">IF(ISERROR($V118),"",OFFSET('Smelter Look-up'!$H$4,$V118-4,0))</f>
        <v/>
      </c>
      <c r="J118" s="177" t="str">
        <f ca="1">IF(ISERROR($V118),"",OFFSET('Smelter Look-up'!$I$4,$V118-4,0))</f>
        <v/>
      </c>
      <c r="K118" s="216"/>
      <c r="L118" s="216"/>
      <c r="M118" s="216"/>
      <c r="N118" s="216"/>
      <c r="O118" s="216"/>
      <c r="P118" s="178"/>
      <c r="Q118" s="217"/>
      <c r="R118" s="175" t="str">
        <f ca="1">IF(ISERROR($V118),"",OFFSET('Smelter Look-up'!$C$4,$V118-4,0)&amp;"")</f>
        <v/>
      </c>
      <c r="S118" s="174" t="str">
        <f t="shared" ca="1" si="15"/>
        <v/>
      </c>
      <c r="T118" s="174" t="str">
        <f ca="1">IF(B118="","",IF(ISERROR(MATCH($J118,SorP!$B$1:$B$6279,0)),"",INDIRECT("'SorP'!$A$"&amp;MATCH($S118&amp;$J118,SorP!C:C,0))))</f>
        <v/>
      </c>
      <c r="U118" s="194"/>
      <c r="V118" s="218" t="e">
        <f>IF(C118="",NA(),IF(OR(C118="Smelter not listed",C118="Smelter not yet identified"),MATCH($B118&amp;$D118,'Smelter Look-up'!$J:$J,0),MATCH($B118&amp;$C118,'Smelter Look-up'!$J:$J,0)))</f>
        <v>#N/A</v>
      </c>
      <c r="X118" s="219">
        <f t="shared" ca="1" si="16"/>
        <v>0</v>
      </c>
      <c r="AB118" s="220" t="str">
        <f t="shared" si="17"/>
        <v/>
      </c>
    </row>
    <row r="119" spans="1:28" s="219" customFormat="1" ht="20.25">
      <c r="A119" s="174"/>
      <c r="B119" s="175" t="str">
        <f>IF(LEN(A119)=0,"",INDEX('Smelter Look-up'!$A:$A,MATCH($A119,'Smelter Look-up'!$E:$E,0)))</f>
        <v/>
      </c>
      <c r="C119" s="179" t="str">
        <f>IF(LEN(A119)=0,"",INDEX('Smelter Look-up'!$C:$C,MATCH($A119,'Smelter Look-up'!$E:$E,0)))</f>
        <v/>
      </c>
      <c r="D119" s="222"/>
      <c r="E119" s="175" t="str">
        <f ca="1">IF(ISERROR($V119),"",OFFSET('Smelter Look-up'!$D$4,$V119-4,0)&amp;"")</f>
        <v/>
      </c>
      <c r="F119" s="175" t="str">
        <f ca="1">IF(ISERROR($V119),"",OFFSET('Smelter Look-up'!$E$4,$V119-4,0))</f>
        <v/>
      </c>
      <c r="G119" s="175" t="str">
        <f ca="1">IF(C119=$X$4,IF(ISERROR($V119),"Enter smelter details","RMI"),IF(ISERROR($V119),"",OFFSET('Smelter Look-up'!$F$4,$V119-4,0)))</f>
        <v/>
      </c>
      <c r="H119" s="176" t="str">
        <f ca="1">IF(ISERROR($V119),"",OFFSET('Smelter Look-up'!$G$4,$V119-4,0))</f>
        <v/>
      </c>
      <c r="I119" s="177" t="str">
        <f ca="1">IF(ISERROR($V119),"",OFFSET('Smelter Look-up'!$H$4,$V119-4,0))</f>
        <v/>
      </c>
      <c r="J119" s="177" t="str">
        <f ca="1">IF(ISERROR($V119),"",OFFSET('Smelter Look-up'!$I$4,$V119-4,0))</f>
        <v/>
      </c>
      <c r="K119" s="216"/>
      <c r="L119" s="216"/>
      <c r="M119" s="216"/>
      <c r="N119" s="216"/>
      <c r="O119" s="216"/>
      <c r="P119" s="178"/>
      <c r="Q119" s="217"/>
      <c r="R119" s="175" t="str">
        <f ca="1">IF(ISERROR($V119),"",OFFSET('Smelter Look-up'!$C$4,$V119-4,0)&amp;"")</f>
        <v/>
      </c>
      <c r="S119" s="174" t="str">
        <f t="shared" ca="1" si="15"/>
        <v/>
      </c>
      <c r="T119" s="174" t="str">
        <f ca="1">IF(B119="","",IF(ISERROR(MATCH($J119,SorP!$B$1:$B$6279,0)),"",INDIRECT("'SorP'!$A$"&amp;MATCH($S119&amp;$J119,SorP!C:C,0))))</f>
        <v/>
      </c>
      <c r="U119" s="194"/>
      <c r="V119" s="218" t="e">
        <f>IF(C119="",NA(),IF(OR(C119="Smelter not listed",C119="Smelter not yet identified"),MATCH($B119&amp;$D119,'Smelter Look-up'!$J:$J,0),MATCH($B119&amp;$C119,'Smelter Look-up'!$J:$J,0)))</f>
        <v>#N/A</v>
      </c>
      <c r="X119" s="219">
        <f t="shared" ca="1" si="16"/>
        <v>0</v>
      </c>
      <c r="AB119" s="220" t="str">
        <f t="shared" si="17"/>
        <v/>
      </c>
    </row>
    <row r="120" spans="1:28" s="219" customFormat="1" ht="20.25">
      <c r="A120" s="174"/>
      <c r="B120" s="175" t="str">
        <f>IF(LEN(A120)=0,"",INDEX('Smelter Look-up'!$A:$A,MATCH($A120,'Smelter Look-up'!$E:$E,0)))</f>
        <v/>
      </c>
      <c r="C120" s="179" t="str">
        <f>IF(LEN(A120)=0,"",INDEX('Smelter Look-up'!$C:$C,MATCH($A120,'Smelter Look-up'!$E:$E,0)))</f>
        <v/>
      </c>
      <c r="D120" s="222"/>
      <c r="E120" s="175" t="str">
        <f ca="1">IF(ISERROR($V120),"",OFFSET('Smelter Look-up'!$D$4,$V120-4,0)&amp;"")</f>
        <v/>
      </c>
      <c r="F120" s="175" t="str">
        <f ca="1">IF(ISERROR($V120),"",OFFSET('Smelter Look-up'!$E$4,$V120-4,0))</f>
        <v/>
      </c>
      <c r="G120" s="175" t="str">
        <f ca="1">IF(C120=$X$4,IF(ISERROR($V120),"Enter smelter details","RMI"),IF(ISERROR($V120),"",OFFSET('Smelter Look-up'!$F$4,$V120-4,0)))</f>
        <v/>
      </c>
      <c r="H120" s="176" t="str">
        <f ca="1">IF(ISERROR($V120),"",OFFSET('Smelter Look-up'!$G$4,$V120-4,0))</f>
        <v/>
      </c>
      <c r="I120" s="177" t="str">
        <f ca="1">IF(ISERROR($V120),"",OFFSET('Smelter Look-up'!$H$4,$V120-4,0))</f>
        <v/>
      </c>
      <c r="J120" s="177" t="str">
        <f ca="1">IF(ISERROR($V120),"",OFFSET('Smelter Look-up'!$I$4,$V120-4,0))</f>
        <v/>
      </c>
      <c r="K120" s="216"/>
      <c r="L120" s="216"/>
      <c r="M120" s="216"/>
      <c r="N120" s="216"/>
      <c r="O120" s="216"/>
      <c r="P120" s="178"/>
      <c r="Q120" s="217"/>
      <c r="R120" s="175" t="str">
        <f ca="1">IF(ISERROR($V120),"",OFFSET('Smelter Look-up'!$C$4,$V120-4,0)&amp;"")</f>
        <v/>
      </c>
      <c r="S120" s="174" t="str">
        <f t="shared" ca="1" si="15"/>
        <v/>
      </c>
      <c r="T120" s="174" t="str">
        <f ca="1">IF(B120="","",IF(ISERROR(MATCH($J120,SorP!$B$1:$B$6279,0)),"",INDIRECT("'SorP'!$A$"&amp;MATCH($S120&amp;$J120,SorP!C:C,0))))</f>
        <v/>
      </c>
      <c r="U120" s="194"/>
      <c r="V120" s="218" t="e">
        <f>IF(C120="",NA(),IF(OR(C120="Smelter not listed",C120="Smelter not yet identified"),MATCH($B120&amp;$D120,'Smelter Look-up'!$J:$J,0),MATCH($B120&amp;$C120,'Smelter Look-up'!$J:$J,0)))</f>
        <v>#N/A</v>
      </c>
      <c r="X120" s="219">
        <f t="shared" ca="1" si="16"/>
        <v>0</v>
      </c>
      <c r="AB120" s="220" t="str">
        <f t="shared" si="17"/>
        <v/>
      </c>
    </row>
    <row r="121" spans="1:28" s="219" customFormat="1" ht="20.25">
      <c r="A121" s="174"/>
      <c r="B121" s="175" t="str">
        <f>IF(LEN(A121)=0,"",INDEX('Smelter Look-up'!$A:$A,MATCH($A121,'Smelter Look-up'!$E:$E,0)))</f>
        <v/>
      </c>
      <c r="C121" s="179" t="str">
        <f>IF(LEN(A121)=0,"",INDEX('Smelter Look-up'!$C:$C,MATCH($A121,'Smelter Look-up'!$E:$E,0)))</f>
        <v/>
      </c>
      <c r="D121" s="222"/>
      <c r="E121" s="175" t="str">
        <f ca="1">IF(ISERROR($V121),"",OFFSET('Smelter Look-up'!$D$4,$V121-4,0)&amp;"")</f>
        <v/>
      </c>
      <c r="F121" s="175" t="str">
        <f ca="1">IF(ISERROR($V121),"",OFFSET('Smelter Look-up'!$E$4,$V121-4,0))</f>
        <v/>
      </c>
      <c r="G121" s="175" t="str">
        <f ca="1">IF(C121=$X$4,IF(ISERROR($V121),"Enter smelter details","RMI"),IF(ISERROR($V121),"",OFFSET('Smelter Look-up'!$F$4,$V121-4,0)))</f>
        <v/>
      </c>
      <c r="H121" s="176" t="str">
        <f ca="1">IF(ISERROR($V121),"",OFFSET('Smelter Look-up'!$G$4,$V121-4,0))</f>
        <v/>
      </c>
      <c r="I121" s="177" t="str">
        <f ca="1">IF(ISERROR($V121),"",OFFSET('Smelter Look-up'!$H$4,$V121-4,0))</f>
        <v/>
      </c>
      <c r="J121" s="177" t="str">
        <f ca="1">IF(ISERROR($V121),"",OFFSET('Smelter Look-up'!$I$4,$V121-4,0))</f>
        <v/>
      </c>
      <c r="K121" s="216"/>
      <c r="L121" s="216"/>
      <c r="M121" s="216"/>
      <c r="N121" s="216"/>
      <c r="O121" s="216"/>
      <c r="P121" s="178"/>
      <c r="Q121" s="217"/>
      <c r="R121" s="175" t="str">
        <f ca="1">IF(ISERROR($V121),"",OFFSET('Smelter Look-up'!$C$4,$V121-4,0)&amp;"")</f>
        <v/>
      </c>
      <c r="S121" s="174" t="str">
        <f t="shared" ca="1" si="15"/>
        <v/>
      </c>
      <c r="T121" s="174" t="str">
        <f ca="1">IF(B121="","",IF(ISERROR(MATCH($J121,SorP!$B$1:$B$6279,0)),"",INDIRECT("'SorP'!$A$"&amp;MATCH($S121&amp;$J121,SorP!C:C,0))))</f>
        <v/>
      </c>
      <c r="U121" s="194"/>
      <c r="V121" s="218" t="e">
        <f>IF(C121="",NA(),IF(OR(C121="Smelter not listed",C121="Smelter not yet identified"),MATCH($B121&amp;$D121,'Smelter Look-up'!$J:$J,0),MATCH($B121&amp;$C121,'Smelter Look-up'!$J:$J,0)))</f>
        <v>#N/A</v>
      </c>
      <c r="X121" s="219">
        <f t="shared" ca="1" si="16"/>
        <v>0</v>
      </c>
      <c r="AB121" s="220" t="str">
        <f t="shared" si="17"/>
        <v/>
      </c>
    </row>
    <row r="122" spans="1:28" s="219" customFormat="1" ht="20.25">
      <c r="A122" s="174"/>
      <c r="B122" s="175" t="str">
        <f>IF(LEN(A122)=0,"",INDEX('Smelter Look-up'!$A:$A,MATCH($A122,'Smelter Look-up'!$E:$E,0)))</f>
        <v/>
      </c>
      <c r="C122" s="179" t="str">
        <f>IF(LEN(A122)=0,"",INDEX('Smelter Look-up'!$C:$C,MATCH($A122,'Smelter Look-up'!$E:$E,0)))</f>
        <v/>
      </c>
      <c r="D122" s="222"/>
      <c r="E122" s="175" t="str">
        <f ca="1">IF(ISERROR($V122),"",OFFSET('Smelter Look-up'!$D$4,$V122-4,0)&amp;"")</f>
        <v/>
      </c>
      <c r="F122" s="175" t="str">
        <f ca="1">IF(ISERROR($V122),"",OFFSET('Smelter Look-up'!$E$4,$V122-4,0))</f>
        <v/>
      </c>
      <c r="G122" s="175" t="str">
        <f ca="1">IF(C122=$X$4,IF(ISERROR($V122),"Enter smelter details","RMI"),IF(ISERROR($V122),"",OFFSET('Smelter Look-up'!$F$4,$V122-4,0)))</f>
        <v/>
      </c>
      <c r="H122" s="176" t="str">
        <f ca="1">IF(ISERROR($V122),"",OFFSET('Smelter Look-up'!$G$4,$V122-4,0))</f>
        <v/>
      </c>
      <c r="I122" s="177" t="str">
        <f ca="1">IF(ISERROR($V122),"",OFFSET('Smelter Look-up'!$H$4,$V122-4,0))</f>
        <v/>
      </c>
      <c r="J122" s="177" t="str">
        <f ca="1">IF(ISERROR($V122),"",OFFSET('Smelter Look-up'!$I$4,$V122-4,0))</f>
        <v/>
      </c>
      <c r="K122" s="216"/>
      <c r="L122" s="216"/>
      <c r="M122" s="216"/>
      <c r="N122" s="216"/>
      <c r="O122" s="216"/>
      <c r="P122" s="178"/>
      <c r="Q122" s="217"/>
      <c r="R122" s="175" t="str">
        <f ca="1">IF(ISERROR($V122),"",OFFSET('Smelter Look-up'!$C$4,$V122-4,0)&amp;"")</f>
        <v/>
      </c>
      <c r="S122" s="174" t="str">
        <f t="shared" ca="1" si="15"/>
        <v/>
      </c>
      <c r="T122" s="174" t="str">
        <f ca="1">IF(B122="","",IF(ISERROR(MATCH($J122,SorP!$B$1:$B$6279,0)),"",INDIRECT("'SorP'!$A$"&amp;MATCH($S122&amp;$J122,SorP!C:C,0))))</f>
        <v/>
      </c>
      <c r="U122" s="194"/>
      <c r="V122" s="218" t="e">
        <f>IF(C122="",NA(),IF(OR(C122="Smelter not listed",C122="Smelter not yet identified"),MATCH($B122&amp;$D122,'Smelter Look-up'!$J:$J,0),MATCH($B122&amp;$C122,'Smelter Look-up'!$J:$J,0)))</f>
        <v>#N/A</v>
      </c>
      <c r="X122" s="219">
        <f t="shared" ca="1" si="16"/>
        <v>0</v>
      </c>
      <c r="AB122" s="220" t="str">
        <f t="shared" si="17"/>
        <v/>
      </c>
    </row>
    <row r="123" spans="1:28" s="219" customFormat="1" ht="20.25">
      <c r="A123" s="174"/>
      <c r="B123" s="175" t="str">
        <f>IF(LEN(A123)=0,"",INDEX('Smelter Look-up'!$A:$A,MATCH($A123,'Smelter Look-up'!$E:$E,0)))</f>
        <v/>
      </c>
      <c r="C123" s="179" t="str">
        <f>IF(LEN(A123)=0,"",INDEX('Smelter Look-up'!$C:$C,MATCH($A123,'Smelter Look-up'!$E:$E,0)))</f>
        <v/>
      </c>
      <c r="D123" s="222"/>
      <c r="E123" s="175" t="str">
        <f ca="1">IF(ISERROR($V123),"",OFFSET('Smelter Look-up'!$D$4,$V123-4,0)&amp;"")</f>
        <v/>
      </c>
      <c r="F123" s="175" t="str">
        <f ca="1">IF(ISERROR($V123),"",OFFSET('Smelter Look-up'!$E$4,$V123-4,0))</f>
        <v/>
      </c>
      <c r="G123" s="175" t="str">
        <f ca="1">IF(C123=$X$4,IF(ISERROR($V123),"Enter smelter details","RMI"),IF(ISERROR($V123),"",OFFSET('Smelter Look-up'!$F$4,$V123-4,0)))</f>
        <v/>
      </c>
      <c r="H123" s="176" t="str">
        <f ca="1">IF(ISERROR($V123),"",OFFSET('Smelter Look-up'!$G$4,$V123-4,0))</f>
        <v/>
      </c>
      <c r="I123" s="177" t="str">
        <f ca="1">IF(ISERROR($V123),"",OFFSET('Smelter Look-up'!$H$4,$V123-4,0))</f>
        <v/>
      </c>
      <c r="J123" s="177" t="str">
        <f ca="1">IF(ISERROR($V123),"",OFFSET('Smelter Look-up'!$I$4,$V123-4,0))</f>
        <v/>
      </c>
      <c r="K123" s="216"/>
      <c r="L123" s="216"/>
      <c r="M123" s="216"/>
      <c r="N123" s="216"/>
      <c r="O123" s="216"/>
      <c r="P123" s="178"/>
      <c r="Q123" s="217"/>
      <c r="R123" s="175" t="str">
        <f ca="1">IF(ISERROR($V123),"",OFFSET('Smelter Look-up'!$C$4,$V123-4,0)&amp;"")</f>
        <v/>
      </c>
      <c r="S123" s="174" t="str">
        <f t="shared" ca="1" si="15"/>
        <v/>
      </c>
      <c r="T123" s="174" t="str">
        <f ca="1">IF(B123="","",IF(ISERROR(MATCH($J123,SorP!$B$1:$B$6279,0)),"",INDIRECT("'SorP'!$A$"&amp;MATCH($S123&amp;$J123,SorP!C:C,0))))</f>
        <v/>
      </c>
      <c r="U123" s="194"/>
      <c r="V123" s="218" t="e">
        <f>IF(C123="",NA(),IF(OR(C123="Smelter not listed",C123="Smelter not yet identified"),MATCH($B123&amp;$D123,'Smelter Look-up'!$J:$J,0),MATCH($B123&amp;$C123,'Smelter Look-up'!$J:$J,0)))</f>
        <v>#N/A</v>
      </c>
      <c r="X123" s="219">
        <f t="shared" ca="1" si="16"/>
        <v>0</v>
      </c>
      <c r="AB123" s="220" t="str">
        <f t="shared" si="17"/>
        <v/>
      </c>
    </row>
    <row r="124" spans="1:28" s="219" customFormat="1" ht="20.25">
      <c r="A124" s="174"/>
      <c r="B124" s="175" t="str">
        <f>IF(LEN(A124)=0,"",INDEX('Smelter Look-up'!$A:$A,MATCH($A124,'Smelter Look-up'!$E:$E,0)))</f>
        <v/>
      </c>
      <c r="C124" s="179" t="str">
        <f>IF(LEN(A124)=0,"",INDEX('Smelter Look-up'!$C:$C,MATCH($A124,'Smelter Look-up'!$E:$E,0)))</f>
        <v/>
      </c>
      <c r="D124" s="222"/>
      <c r="E124" s="175" t="str">
        <f ca="1">IF(ISERROR($V124),"",OFFSET('Smelter Look-up'!$D$4,$V124-4,0)&amp;"")</f>
        <v/>
      </c>
      <c r="F124" s="175" t="str">
        <f ca="1">IF(ISERROR($V124),"",OFFSET('Smelter Look-up'!$E$4,$V124-4,0))</f>
        <v/>
      </c>
      <c r="G124" s="175" t="str">
        <f ca="1">IF(C124=$X$4,IF(ISERROR($V124),"Enter smelter details","RMI"),IF(ISERROR($V124),"",OFFSET('Smelter Look-up'!$F$4,$V124-4,0)))</f>
        <v/>
      </c>
      <c r="H124" s="176" t="str">
        <f ca="1">IF(ISERROR($V124),"",OFFSET('Smelter Look-up'!$G$4,$V124-4,0))</f>
        <v/>
      </c>
      <c r="I124" s="177" t="str">
        <f ca="1">IF(ISERROR($V124),"",OFFSET('Smelter Look-up'!$H$4,$V124-4,0))</f>
        <v/>
      </c>
      <c r="J124" s="177" t="str">
        <f ca="1">IF(ISERROR($V124),"",OFFSET('Smelter Look-up'!$I$4,$V124-4,0))</f>
        <v/>
      </c>
      <c r="K124" s="216"/>
      <c r="L124" s="216"/>
      <c r="M124" s="216"/>
      <c r="N124" s="216"/>
      <c r="O124" s="216"/>
      <c r="P124" s="178"/>
      <c r="Q124" s="217"/>
      <c r="R124" s="175" t="str">
        <f ca="1">IF(ISERROR($V124),"",OFFSET('Smelter Look-up'!$C$4,$V124-4,0)&amp;"")</f>
        <v/>
      </c>
      <c r="S124" s="174" t="str">
        <f t="shared" ca="1" si="15"/>
        <v/>
      </c>
      <c r="T124" s="174" t="str">
        <f ca="1">IF(B124="","",IF(ISERROR(MATCH($J124,SorP!$B$1:$B$6279,0)),"",INDIRECT("'SorP'!$A$"&amp;MATCH($S124&amp;$J124,SorP!C:C,0))))</f>
        <v/>
      </c>
      <c r="U124" s="194"/>
      <c r="V124" s="218" t="e">
        <f>IF(C124="",NA(),IF(OR(C124="Smelter not listed",C124="Smelter not yet identified"),MATCH($B124&amp;$D124,'Smelter Look-up'!$J:$J,0),MATCH($B124&amp;$C124,'Smelter Look-up'!$J:$J,0)))</f>
        <v>#N/A</v>
      </c>
      <c r="X124" s="219">
        <f t="shared" ca="1" si="16"/>
        <v>0</v>
      </c>
      <c r="AB124" s="220" t="str">
        <f t="shared" si="17"/>
        <v/>
      </c>
    </row>
    <row r="125" spans="1:28" s="219" customFormat="1" ht="20.25">
      <c r="A125" s="174"/>
      <c r="B125" s="175" t="str">
        <f>IF(LEN(A125)=0,"",INDEX('Smelter Look-up'!$A:$A,MATCH($A125,'Smelter Look-up'!$E:$E,0)))</f>
        <v/>
      </c>
      <c r="C125" s="179" t="str">
        <f>IF(LEN(A125)=0,"",INDEX('Smelter Look-up'!$C:$C,MATCH($A125,'Smelter Look-up'!$E:$E,0)))</f>
        <v/>
      </c>
      <c r="D125" s="222"/>
      <c r="E125" s="175" t="str">
        <f ca="1">IF(ISERROR($V125),"",OFFSET('Smelter Look-up'!$D$4,$V125-4,0)&amp;"")</f>
        <v/>
      </c>
      <c r="F125" s="175" t="str">
        <f ca="1">IF(ISERROR($V125),"",OFFSET('Smelter Look-up'!$E$4,$V125-4,0))</f>
        <v/>
      </c>
      <c r="G125" s="175" t="str">
        <f ca="1">IF(C125=$X$4,IF(ISERROR($V125),"Enter smelter details","RMI"),IF(ISERROR($V125),"",OFFSET('Smelter Look-up'!$F$4,$V125-4,0)))</f>
        <v/>
      </c>
      <c r="H125" s="176" t="str">
        <f ca="1">IF(ISERROR($V125),"",OFFSET('Smelter Look-up'!$G$4,$V125-4,0))</f>
        <v/>
      </c>
      <c r="I125" s="177" t="str">
        <f ca="1">IF(ISERROR($V125),"",OFFSET('Smelter Look-up'!$H$4,$V125-4,0))</f>
        <v/>
      </c>
      <c r="J125" s="177" t="str">
        <f ca="1">IF(ISERROR($V125),"",OFFSET('Smelter Look-up'!$I$4,$V125-4,0))</f>
        <v/>
      </c>
      <c r="K125" s="216"/>
      <c r="L125" s="216"/>
      <c r="M125" s="216"/>
      <c r="N125" s="216"/>
      <c r="O125" s="216"/>
      <c r="P125" s="178"/>
      <c r="Q125" s="217"/>
      <c r="R125" s="175" t="str">
        <f ca="1">IF(ISERROR($V125),"",OFFSET('Smelter Look-up'!$C$4,$V125-4,0)&amp;"")</f>
        <v/>
      </c>
      <c r="S125" s="174" t="str">
        <f t="shared" ca="1" si="15"/>
        <v/>
      </c>
      <c r="T125" s="174" t="str">
        <f ca="1">IF(B125="","",IF(ISERROR(MATCH($J125,SorP!$B$1:$B$6279,0)),"",INDIRECT("'SorP'!$A$"&amp;MATCH($S125&amp;$J125,SorP!C:C,0))))</f>
        <v/>
      </c>
      <c r="U125" s="194"/>
      <c r="V125" s="218" t="e">
        <f>IF(C125="",NA(),IF(OR(C125="Smelter not listed",C125="Smelter not yet identified"),MATCH($B125&amp;$D125,'Smelter Look-up'!$J:$J,0),MATCH($B125&amp;$C125,'Smelter Look-up'!$J:$J,0)))</f>
        <v>#N/A</v>
      </c>
      <c r="X125" s="219">
        <f t="shared" ca="1" si="16"/>
        <v>0</v>
      </c>
      <c r="AB125" s="220" t="str">
        <f t="shared" si="17"/>
        <v/>
      </c>
    </row>
    <row r="126" spans="1:28" s="219" customFormat="1" ht="20.25">
      <c r="A126" s="174"/>
      <c r="B126" s="175" t="str">
        <f>IF(LEN(A126)=0,"",INDEX('Smelter Look-up'!$A:$A,MATCH($A126,'Smelter Look-up'!$E:$E,0)))</f>
        <v/>
      </c>
      <c r="C126" s="179" t="str">
        <f>IF(LEN(A126)=0,"",INDEX('Smelter Look-up'!$C:$C,MATCH($A126,'Smelter Look-up'!$E:$E,0)))</f>
        <v/>
      </c>
      <c r="D126" s="222"/>
      <c r="E126" s="175" t="str">
        <f ca="1">IF(ISERROR($V126),"",OFFSET('Smelter Look-up'!$D$4,$V126-4,0)&amp;"")</f>
        <v/>
      </c>
      <c r="F126" s="175" t="str">
        <f ca="1">IF(ISERROR($V126),"",OFFSET('Smelter Look-up'!$E$4,$V126-4,0))</f>
        <v/>
      </c>
      <c r="G126" s="175" t="str">
        <f ca="1">IF(C126=$X$4,IF(ISERROR($V126),"Enter smelter details","RMI"),IF(ISERROR($V126),"",OFFSET('Smelter Look-up'!$F$4,$V126-4,0)))</f>
        <v/>
      </c>
      <c r="H126" s="176" t="str">
        <f ca="1">IF(ISERROR($V126),"",OFFSET('Smelter Look-up'!$G$4,$V126-4,0))</f>
        <v/>
      </c>
      <c r="I126" s="177" t="str">
        <f ca="1">IF(ISERROR($V126),"",OFFSET('Smelter Look-up'!$H$4,$V126-4,0))</f>
        <v/>
      </c>
      <c r="J126" s="177" t="str">
        <f ca="1">IF(ISERROR($V126),"",OFFSET('Smelter Look-up'!$I$4,$V126-4,0))</f>
        <v/>
      </c>
      <c r="K126" s="216"/>
      <c r="L126" s="216"/>
      <c r="M126" s="216"/>
      <c r="N126" s="216"/>
      <c r="O126" s="216"/>
      <c r="P126" s="178"/>
      <c r="Q126" s="217"/>
      <c r="R126" s="175" t="str">
        <f ca="1">IF(ISERROR($V126),"",OFFSET('Smelter Look-up'!$C$4,$V126-4,0)&amp;"")</f>
        <v/>
      </c>
      <c r="S126" s="174" t="str">
        <f t="shared" ca="1" si="15"/>
        <v/>
      </c>
      <c r="T126" s="174" t="str">
        <f ca="1">IF(B126="","",IF(ISERROR(MATCH($J126,SorP!$B$1:$B$6279,0)),"",INDIRECT("'SorP'!$A$"&amp;MATCH($S126&amp;$J126,SorP!C:C,0))))</f>
        <v/>
      </c>
      <c r="U126" s="194"/>
      <c r="V126" s="218" t="e">
        <f>IF(C126="",NA(),IF(OR(C126="Smelter not listed",C126="Smelter not yet identified"),MATCH($B126&amp;$D126,'Smelter Look-up'!$J:$J,0),MATCH($B126&amp;$C126,'Smelter Look-up'!$J:$J,0)))</f>
        <v>#N/A</v>
      </c>
      <c r="X126" s="219">
        <f t="shared" ca="1" si="16"/>
        <v>0</v>
      </c>
      <c r="AB126" s="220" t="str">
        <f t="shared" si="17"/>
        <v/>
      </c>
    </row>
    <row r="127" spans="1:28" s="219" customFormat="1" ht="20.25">
      <c r="A127" s="174"/>
      <c r="B127" s="175" t="str">
        <f>IF(LEN(A127)=0,"",INDEX('Smelter Look-up'!$A:$A,MATCH($A127,'Smelter Look-up'!$E:$E,0)))</f>
        <v/>
      </c>
      <c r="C127" s="179" t="str">
        <f>IF(LEN(A127)=0,"",INDEX('Smelter Look-up'!$C:$C,MATCH($A127,'Smelter Look-up'!$E:$E,0)))</f>
        <v/>
      </c>
      <c r="D127" s="222"/>
      <c r="E127" s="175" t="str">
        <f ca="1">IF(ISERROR($V127),"",OFFSET('Smelter Look-up'!$D$4,$V127-4,0)&amp;"")</f>
        <v/>
      </c>
      <c r="F127" s="175" t="str">
        <f ca="1">IF(ISERROR($V127),"",OFFSET('Smelter Look-up'!$E$4,$V127-4,0))</f>
        <v/>
      </c>
      <c r="G127" s="175" t="str">
        <f ca="1">IF(C127=$X$4,IF(ISERROR($V127),"Enter smelter details","RMI"),IF(ISERROR($V127),"",OFFSET('Smelter Look-up'!$F$4,$V127-4,0)))</f>
        <v/>
      </c>
      <c r="H127" s="176" t="str">
        <f ca="1">IF(ISERROR($V127),"",OFFSET('Smelter Look-up'!$G$4,$V127-4,0))</f>
        <v/>
      </c>
      <c r="I127" s="177" t="str">
        <f ca="1">IF(ISERROR($V127),"",OFFSET('Smelter Look-up'!$H$4,$V127-4,0))</f>
        <v/>
      </c>
      <c r="J127" s="177" t="str">
        <f ca="1">IF(ISERROR($V127),"",OFFSET('Smelter Look-up'!$I$4,$V127-4,0))</f>
        <v/>
      </c>
      <c r="K127" s="216"/>
      <c r="L127" s="216"/>
      <c r="M127" s="216"/>
      <c r="N127" s="216"/>
      <c r="O127" s="216"/>
      <c r="P127" s="178"/>
      <c r="Q127" s="217"/>
      <c r="R127" s="175" t="str">
        <f ca="1">IF(ISERROR($V127),"",OFFSET('Smelter Look-up'!$C$4,$V127-4,0)&amp;"")</f>
        <v/>
      </c>
      <c r="S127" s="174" t="str">
        <f t="shared" ca="1" si="15"/>
        <v/>
      </c>
      <c r="T127" s="174" t="str">
        <f ca="1">IF(B127="","",IF(ISERROR(MATCH($J127,SorP!$B$1:$B$6279,0)),"",INDIRECT("'SorP'!$A$"&amp;MATCH($S127&amp;$J127,SorP!C:C,0))))</f>
        <v/>
      </c>
      <c r="U127" s="194"/>
      <c r="V127" s="218" t="e">
        <f>IF(C127="",NA(),IF(OR(C127="Smelter not listed",C127="Smelter not yet identified"),MATCH($B127&amp;$D127,'Smelter Look-up'!$J:$J,0),MATCH($B127&amp;$C127,'Smelter Look-up'!$J:$J,0)))</f>
        <v>#N/A</v>
      </c>
      <c r="X127" s="219">
        <f t="shared" ca="1" si="16"/>
        <v>0</v>
      </c>
      <c r="AB127" s="220" t="str">
        <f t="shared" si="17"/>
        <v/>
      </c>
    </row>
    <row r="128" spans="1:28" s="219" customFormat="1" ht="20.25">
      <c r="A128" s="174"/>
      <c r="B128" s="175" t="str">
        <f>IF(LEN(A128)=0,"",INDEX('Smelter Look-up'!$A:$A,MATCH($A128,'Smelter Look-up'!$E:$E,0)))</f>
        <v/>
      </c>
      <c r="C128" s="179" t="str">
        <f>IF(LEN(A128)=0,"",INDEX('Smelter Look-up'!$C:$C,MATCH($A128,'Smelter Look-up'!$E:$E,0)))</f>
        <v/>
      </c>
      <c r="D128" s="222"/>
      <c r="E128" s="175" t="str">
        <f ca="1">IF(ISERROR($V128),"",OFFSET('Smelter Look-up'!$D$4,$V128-4,0)&amp;"")</f>
        <v/>
      </c>
      <c r="F128" s="175" t="str">
        <f ca="1">IF(ISERROR($V128),"",OFFSET('Smelter Look-up'!$E$4,$V128-4,0))</f>
        <v/>
      </c>
      <c r="G128" s="175" t="str">
        <f ca="1">IF(C128=$X$4,IF(ISERROR($V128),"Enter smelter details","RMI"),IF(ISERROR($V128),"",OFFSET('Smelter Look-up'!$F$4,$V128-4,0)))</f>
        <v/>
      </c>
      <c r="H128" s="176" t="str">
        <f ca="1">IF(ISERROR($V128),"",OFFSET('Smelter Look-up'!$G$4,$V128-4,0))</f>
        <v/>
      </c>
      <c r="I128" s="177" t="str">
        <f ca="1">IF(ISERROR($V128),"",OFFSET('Smelter Look-up'!$H$4,$V128-4,0))</f>
        <v/>
      </c>
      <c r="J128" s="177" t="str">
        <f ca="1">IF(ISERROR($V128),"",OFFSET('Smelter Look-up'!$I$4,$V128-4,0))</f>
        <v/>
      </c>
      <c r="K128" s="216"/>
      <c r="L128" s="216"/>
      <c r="M128" s="216"/>
      <c r="N128" s="216"/>
      <c r="O128" s="216"/>
      <c r="P128" s="178"/>
      <c r="Q128" s="217"/>
      <c r="R128" s="175" t="str">
        <f ca="1">IF(ISERROR($V128),"",OFFSET('Smelter Look-up'!$C$4,$V128-4,0)&amp;"")</f>
        <v/>
      </c>
      <c r="S128" s="174" t="str">
        <f t="shared" ca="1" si="15"/>
        <v/>
      </c>
      <c r="T128" s="174" t="str">
        <f ca="1">IF(B128="","",IF(ISERROR(MATCH($J128,SorP!$B$1:$B$6279,0)),"",INDIRECT("'SorP'!$A$"&amp;MATCH($S128&amp;$J128,SorP!C:C,0))))</f>
        <v/>
      </c>
      <c r="U128" s="194"/>
      <c r="V128" s="218" t="e">
        <f>IF(C128="",NA(),IF(OR(C128="Smelter not listed",C128="Smelter not yet identified"),MATCH($B128&amp;$D128,'Smelter Look-up'!$J:$J,0),MATCH($B128&amp;$C128,'Smelter Look-up'!$J:$J,0)))</f>
        <v>#N/A</v>
      </c>
      <c r="X128" s="219">
        <f t="shared" ca="1" si="16"/>
        <v>0</v>
      </c>
      <c r="AB128" s="220" t="str">
        <f t="shared" si="17"/>
        <v/>
      </c>
    </row>
    <row r="129" spans="1:28" s="219" customFormat="1" ht="20.25">
      <c r="A129" s="174"/>
      <c r="B129" s="175" t="str">
        <f>IF(LEN(A129)=0,"",INDEX('Smelter Look-up'!$A:$A,MATCH($A129,'Smelter Look-up'!$E:$E,0)))</f>
        <v/>
      </c>
      <c r="C129" s="179" t="str">
        <f>IF(LEN(A129)=0,"",INDEX('Smelter Look-up'!$C:$C,MATCH($A129,'Smelter Look-up'!$E:$E,0)))</f>
        <v/>
      </c>
      <c r="D129" s="222"/>
      <c r="E129" s="175" t="str">
        <f ca="1">IF(ISERROR($V129),"",OFFSET('Smelter Look-up'!$D$4,$V129-4,0)&amp;"")</f>
        <v/>
      </c>
      <c r="F129" s="175" t="str">
        <f ca="1">IF(ISERROR($V129),"",OFFSET('Smelter Look-up'!$E$4,$V129-4,0))</f>
        <v/>
      </c>
      <c r="G129" s="175" t="str">
        <f ca="1">IF(C129=$X$4,IF(ISERROR($V129),"Enter smelter details","RMI"),IF(ISERROR($V129),"",OFFSET('Smelter Look-up'!$F$4,$V129-4,0)))</f>
        <v/>
      </c>
      <c r="H129" s="176" t="str">
        <f ca="1">IF(ISERROR($V129),"",OFFSET('Smelter Look-up'!$G$4,$V129-4,0))</f>
        <v/>
      </c>
      <c r="I129" s="177" t="str">
        <f ca="1">IF(ISERROR($V129),"",OFFSET('Smelter Look-up'!$H$4,$V129-4,0))</f>
        <v/>
      </c>
      <c r="J129" s="177" t="str">
        <f ca="1">IF(ISERROR($V129),"",OFFSET('Smelter Look-up'!$I$4,$V129-4,0))</f>
        <v/>
      </c>
      <c r="K129" s="216"/>
      <c r="L129" s="216"/>
      <c r="M129" s="216"/>
      <c r="N129" s="216"/>
      <c r="O129" s="216"/>
      <c r="P129" s="178"/>
      <c r="Q129" s="217"/>
      <c r="R129" s="175" t="str">
        <f ca="1">IF(ISERROR($V129),"",OFFSET('Smelter Look-up'!$C$4,$V129-4,0)&amp;"")</f>
        <v/>
      </c>
      <c r="S129" s="174" t="str">
        <f t="shared" ca="1" si="15"/>
        <v/>
      </c>
      <c r="T129" s="174" t="str">
        <f ca="1">IF(B129="","",IF(ISERROR(MATCH($J129,SorP!$B$1:$B$6279,0)),"",INDIRECT("'SorP'!$A$"&amp;MATCH($S129&amp;$J129,SorP!C:C,0))))</f>
        <v/>
      </c>
      <c r="U129" s="194"/>
      <c r="V129" s="218" t="e">
        <f>IF(C129="",NA(),IF(OR(C129="Smelter not listed",C129="Smelter not yet identified"),MATCH($B129&amp;$D129,'Smelter Look-up'!$J:$J,0),MATCH($B129&amp;$C129,'Smelter Look-up'!$J:$J,0)))</f>
        <v>#N/A</v>
      </c>
      <c r="X129" s="219">
        <f t="shared" ca="1" si="16"/>
        <v>0</v>
      </c>
      <c r="AB129" s="220" t="str">
        <f t="shared" si="17"/>
        <v/>
      </c>
    </row>
    <row r="130" spans="1:28" s="219" customFormat="1" ht="20.25">
      <c r="A130" s="174"/>
      <c r="B130" s="175" t="str">
        <f>IF(LEN(A130)=0,"",INDEX('Smelter Look-up'!$A:$A,MATCH($A130,'Smelter Look-up'!$E:$E,0)))</f>
        <v/>
      </c>
      <c r="C130" s="179" t="str">
        <f>IF(LEN(A130)=0,"",INDEX('Smelter Look-up'!$C:$C,MATCH($A130,'Smelter Look-up'!$E:$E,0)))</f>
        <v/>
      </c>
      <c r="D130" s="222"/>
      <c r="E130" s="175" t="str">
        <f ca="1">IF(ISERROR($V130),"",OFFSET('Smelter Look-up'!$D$4,$V130-4,0)&amp;"")</f>
        <v/>
      </c>
      <c r="F130" s="175" t="str">
        <f ca="1">IF(ISERROR($V130),"",OFFSET('Smelter Look-up'!$E$4,$V130-4,0))</f>
        <v/>
      </c>
      <c r="G130" s="175" t="str">
        <f ca="1">IF(C130=$X$4,IF(ISERROR($V130),"Enter smelter details","RMI"),IF(ISERROR($V130),"",OFFSET('Smelter Look-up'!$F$4,$V130-4,0)))</f>
        <v/>
      </c>
      <c r="H130" s="176" t="str">
        <f ca="1">IF(ISERROR($V130),"",OFFSET('Smelter Look-up'!$G$4,$V130-4,0))</f>
        <v/>
      </c>
      <c r="I130" s="177" t="str">
        <f ca="1">IF(ISERROR($V130),"",OFFSET('Smelter Look-up'!$H$4,$V130-4,0))</f>
        <v/>
      </c>
      <c r="J130" s="177" t="str">
        <f ca="1">IF(ISERROR($V130),"",OFFSET('Smelter Look-up'!$I$4,$V130-4,0))</f>
        <v/>
      </c>
      <c r="K130" s="216"/>
      <c r="L130" s="216"/>
      <c r="M130" s="216"/>
      <c r="N130" s="216"/>
      <c r="O130" s="216"/>
      <c r="P130" s="178"/>
      <c r="Q130" s="217"/>
      <c r="R130" s="175" t="str">
        <f ca="1">IF(ISERROR($V130),"",OFFSET('Smelter Look-up'!$C$4,$V130-4,0)&amp;"")</f>
        <v/>
      </c>
      <c r="S130" s="174" t="str">
        <f t="shared" ca="1" si="15"/>
        <v/>
      </c>
      <c r="T130" s="174" t="str">
        <f ca="1">IF(B130="","",IF(ISERROR(MATCH($J130,SorP!$B$1:$B$6279,0)),"",INDIRECT("'SorP'!$A$"&amp;MATCH($S130&amp;$J130,SorP!C:C,0))))</f>
        <v/>
      </c>
      <c r="U130" s="194"/>
      <c r="V130" s="218" t="e">
        <f>IF(C130="",NA(),IF(OR(C130="Smelter not listed",C130="Smelter not yet identified"),MATCH($B130&amp;$D130,'Smelter Look-up'!$J:$J,0),MATCH($B130&amp;$C130,'Smelter Look-up'!$J:$J,0)))</f>
        <v>#N/A</v>
      </c>
      <c r="X130" s="219">
        <f t="shared" ca="1" si="16"/>
        <v>0</v>
      </c>
      <c r="AB130" s="220" t="str">
        <f t="shared" si="17"/>
        <v/>
      </c>
    </row>
    <row r="131" spans="1:28" s="219" customFormat="1" ht="20.25">
      <c r="A131" s="174"/>
      <c r="B131" s="175" t="str">
        <f>IF(LEN(A131)=0,"",INDEX('Smelter Look-up'!$A:$A,MATCH($A131,'Smelter Look-up'!$E:$E,0)))</f>
        <v/>
      </c>
      <c r="C131" s="179" t="str">
        <f>IF(LEN(A131)=0,"",INDEX('Smelter Look-up'!$C:$C,MATCH($A131,'Smelter Look-up'!$E:$E,0)))</f>
        <v/>
      </c>
      <c r="D131" s="222"/>
      <c r="E131" s="175" t="str">
        <f ca="1">IF(ISERROR($V131),"",OFFSET('Smelter Look-up'!$D$4,$V131-4,0)&amp;"")</f>
        <v/>
      </c>
      <c r="F131" s="175" t="str">
        <f ca="1">IF(ISERROR($V131),"",OFFSET('Smelter Look-up'!$E$4,$V131-4,0))</f>
        <v/>
      </c>
      <c r="G131" s="175" t="str">
        <f ca="1">IF(C131=$X$4,IF(ISERROR($V131),"Enter smelter details","RMI"),IF(ISERROR($V131),"",OFFSET('Smelter Look-up'!$F$4,$V131-4,0)))</f>
        <v/>
      </c>
      <c r="H131" s="176" t="str">
        <f ca="1">IF(ISERROR($V131),"",OFFSET('Smelter Look-up'!$G$4,$V131-4,0))</f>
        <v/>
      </c>
      <c r="I131" s="177" t="str">
        <f ca="1">IF(ISERROR($V131),"",OFFSET('Smelter Look-up'!$H$4,$V131-4,0))</f>
        <v/>
      </c>
      <c r="J131" s="177" t="str">
        <f ca="1">IF(ISERROR($V131),"",OFFSET('Smelter Look-up'!$I$4,$V131-4,0))</f>
        <v/>
      </c>
      <c r="K131" s="216"/>
      <c r="L131" s="216"/>
      <c r="M131" s="216"/>
      <c r="N131" s="216"/>
      <c r="O131" s="216"/>
      <c r="P131" s="178"/>
      <c r="Q131" s="217"/>
      <c r="R131" s="175" t="str">
        <f ca="1">IF(ISERROR($V131),"",OFFSET('Smelter Look-up'!$C$4,$V131-4,0)&amp;"")</f>
        <v/>
      </c>
      <c r="S131" s="174" t="str">
        <f t="shared" ca="1" si="15"/>
        <v/>
      </c>
      <c r="T131" s="174" t="str">
        <f ca="1">IF(B131="","",IF(ISERROR(MATCH($J131,SorP!$B$1:$B$6279,0)),"",INDIRECT("'SorP'!$A$"&amp;MATCH($S131&amp;$J131,SorP!C:C,0))))</f>
        <v/>
      </c>
      <c r="U131" s="194"/>
      <c r="V131" s="218" t="e">
        <f>IF(C131="",NA(),IF(OR(C131="Smelter not listed",C131="Smelter not yet identified"),MATCH($B131&amp;$D131,'Smelter Look-up'!$J:$J,0),MATCH($B131&amp;$C131,'Smelter Look-up'!$J:$J,0)))</f>
        <v>#N/A</v>
      </c>
      <c r="X131" s="219">
        <f t="shared" ca="1" si="16"/>
        <v>0</v>
      </c>
      <c r="AB131" s="220" t="str">
        <f t="shared" si="17"/>
        <v/>
      </c>
    </row>
    <row r="132" spans="1:28" s="219" customFormat="1" ht="20.25">
      <c r="A132" s="174"/>
      <c r="B132" s="175" t="str">
        <f>IF(LEN(A132)=0,"",INDEX('Smelter Look-up'!$A:$A,MATCH($A132,'Smelter Look-up'!$E:$E,0)))</f>
        <v/>
      </c>
      <c r="C132" s="179" t="str">
        <f>IF(LEN(A132)=0,"",INDEX('Smelter Look-up'!$C:$C,MATCH($A132,'Smelter Look-up'!$E:$E,0)))</f>
        <v/>
      </c>
      <c r="D132" s="222"/>
      <c r="E132" s="175" t="str">
        <f ca="1">IF(ISERROR($V132),"",OFFSET('Smelter Look-up'!$D$4,$V132-4,0)&amp;"")</f>
        <v/>
      </c>
      <c r="F132" s="175" t="str">
        <f ca="1">IF(ISERROR($V132),"",OFFSET('Smelter Look-up'!$E$4,$V132-4,0))</f>
        <v/>
      </c>
      <c r="G132" s="175" t="str">
        <f ca="1">IF(C132=$X$4,IF(ISERROR($V132),"Enter smelter details","RMI"),IF(ISERROR($V132),"",OFFSET('Smelter Look-up'!$F$4,$V132-4,0)))</f>
        <v/>
      </c>
      <c r="H132" s="176" t="str">
        <f ca="1">IF(ISERROR($V132),"",OFFSET('Smelter Look-up'!$G$4,$V132-4,0))</f>
        <v/>
      </c>
      <c r="I132" s="177" t="str">
        <f ca="1">IF(ISERROR($V132),"",OFFSET('Smelter Look-up'!$H$4,$V132-4,0))</f>
        <v/>
      </c>
      <c r="J132" s="177" t="str">
        <f ca="1">IF(ISERROR($V132),"",OFFSET('Smelter Look-up'!$I$4,$V132-4,0))</f>
        <v/>
      </c>
      <c r="K132" s="216"/>
      <c r="L132" s="216"/>
      <c r="M132" s="216"/>
      <c r="N132" s="216"/>
      <c r="O132" s="216"/>
      <c r="P132" s="178"/>
      <c r="Q132" s="217"/>
      <c r="R132" s="175" t="str">
        <f ca="1">IF(ISERROR($V132),"",OFFSET('Smelter Look-up'!$C$4,$V132-4,0)&amp;"")</f>
        <v/>
      </c>
      <c r="S132" s="174" t="str">
        <f t="shared" ca="1" si="15"/>
        <v/>
      </c>
      <c r="T132" s="174" t="str">
        <f ca="1">IF(B132="","",IF(ISERROR(MATCH($J132,SorP!$B$1:$B$6279,0)),"",INDIRECT("'SorP'!$A$"&amp;MATCH($S132&amp;$J132,SorP!C:C,0))))</f>
        <v/>
      </c>
      <c r="U132" s="194"/>
      <c r="V132" s="218" t="e">
        <f>IF(C132="",NA(),IF(OR(C132="Smelter not listed",C132="Smelter not yet identified"),MATCH($B132&amp;$D132,'Smelter Look-up'!$J:$J,0),MATCH($B132&amp;$C132,'Smelter Look-up'!$J:$J,0)))</f>
        <v>#N/A</v>
      </c>
      <c r="X132" s="219">
        <f t="shared" ca="1" si="16"/>
        <v>0</v>
      </c>
      <c r="AB132" s="220" t="str">
        <f t="shared" si="17"/>
        <v/>
      </c>
    </row>
    <row r="133" spans="1:28" s="219" customFormat="1" ht="20.25">
      <c r="A133" s="174"/>
      <c r="B133" s="175" t="str">
        <f>IF(LEN(A133)=0,"",INDEX('Smelter Look-up'!$A:$A,MATCH($A133,'Smelter Look-up'!$E:$E,0)))</f>
        <v/>
      </c>
      <c r="C133" s="179" t="str">
        <f>IF(LEN(A133)=0,"",INDEX('Smelter Look-up'!$C:$C,MATCH($A133,'Smelter Look-up'!$E:$E,0)))</f>
        <v/>
      </c>
      <c r="D133" s="222"/>
      <c r="E133" s="175" t="str">
        <f ca="1">IF(ISERROR($V133),"",OFFSET('Smelter Look-up'!$D$4,$V133-4,0)&amp;"")</f>
        <v/>
      </c>
      <c r="F133" s="175" t="str">
        <f ca="1">IF(ISERROR($V133),"",OFFSET('Smelter Look-up'!$E$4,$V133-4,0))</f>
        <v/>
      </c>
      <c r="G133" s="175" t="str">
        <f ca="1">IF(C133=$X$4,IF(ISERROR($V133),"Enter smelter details","RMI"),IF(ISERROR($V133),"",OFFSET('Smelter Look-up'!$F$4,$V133-4,0)))</f>
        <v/>
      </c>
      <c r="H133" s="176" t="str">
        <f ca="1">IF(ISERROR($V133),"",OFFSET('Smelter Look-up'!$G$4,$V133-4,0))</f>
        <v/>
      </c>
      <c r="I133" s="177" t="str">
        <f ca="1">IF(ISERROR($V133),"",OFFSET('Smelter Look-up'!$H$4,$V133-4,0))</f>
        <v/>
      </c>
      <c r="J133" s="177" t="str">
        <f ca="1">IF(ISERROR($V133),"",OFFSET('Smelter Look-up'!$I$4,$V133-4,0))</f>
        <v/>
      </c>
      <c r="K133" s="216"/>
      <c r="L133" s="216"/>
      <c r="M133" s="216"/>
      <c r="N133" s="216"/>
      <c r="O133" s="216"/>
      <c r="P133" s="178"/>
      <c r="Q133" s="217"/>
      <c r="R133" s="175" t="str">
        <f ca="1">IF(ISERROR($V133),"",OFFSET('Smelter Look-up'!$C$4,$V133-4,0)&amp;"")</f>
        <v/>
      </c>
      <c r="S133" s="174" t="str">
        <f t="shared" ref="S133" ca="1" si="18">IF(B133="","",IF(ISERROR(MATCH($E133,CL,0)),"Unknown",INDIRECT("'C'!$A$"&amp;MATCH($E133,CL,0)+1)))</f>
        <v/>
      </c>
      <c r="T133" s="174" t="str">
        <f ca="1">IF(B133="","",IF(ISERROR(MATCH($J133,SorP!$B$1:$B$6279,0)),"",INDIRECT("'SorP'!$A$"&amp;MATCH($S133&amp;$J133,SorP!C:C,0))))</f>
        <v/>
      </c>
      <c r="U133" s="194"/>
      <c r="V133" s="218" t="e">
        <f>IF(C133="",NA(),IF(OR(C133="Smelter not listed",C133="Smelter not yet identified"),MATCH($B133&amp;$D133,'Smelter Look-up'!$J:$J,0),MATCH($B133&amp;$C133,'Smelter Look-up'!$J:$J,0)))</f>
        <v>#N/A</v>
      </c>
      <c r="X133" s="219">
        <f t="shared" ref="X133" ca="1" si="19">IF(AND(C133="Smelter not listed",OR(LEN(D133)=0,LEN(E133)=0)),1,0)</f>
        <v>0</v>
      </c>
      <c r="AB133" s="220" t="str">
        <f t="shared" ref="AB133" si="20">B133&amp;C133</f>
        <v/>
      </c>
    </row>
    <row r="134" spans="1:28" s="219" customFormat="1" ht="20.25">
      <c r="A134" s="174"/>
      <c r="B134" s="175" t="str">
        <f>IF(LEN(A134)=0,"",INDEX('Smelter Look-up'!$A:$A,MATCH($A134,'Smelter Look-up'!$E:$E,0)))</f>
        <v/>
      </c>
      <c r="C134" s="179" t="str">
        <f>IF(LEN(A134)=0,"",INDEX('Smelter Look-up'!$C:$C,MATCH($A134,'Smelter Look-up'!$E:$E,0)))</f>
        <v/>
      </c>
      <c r="D134" s="222"/>
      <c r="E134" s="175" t="str">
        <f ca="1">IF(ISERROR($V134),"",OFFSET('Smelter Look-up'!$D$4,$V134-4,0)&amp;"")</f>
        <v/>
      </c>
      <c r="F134" s="175" t="str">
        <f ca="1">IF(ISERROR($V134),"",OFFSET('Smelter Look-up'!$E$4,$V134-4,0))</f>
        <v/>
      </c>
      <c r="G134" s="175" t="str">
        <f ca="1">IF(C134=$X$4,IF(ISERROR($V134),"Enter smelter details","RMI"),IF(ISERROR($V134),"",OFFSET('Smelter Look-up'!$F$4,$V134-4,0)))</f>
        <v/>
      </c>
      <c r="H134" s="176" t="str">
        <f ca="1">IF(ISERROR($V134),"",OFFSET('Smelter Look-up'!$G$4,$V134-4,0))</f>
        <v/>
      </c>
      <c r="I134" s="177" t="str">
        <f ca="1">IF(ISERROR($V134),"",OFFSET('Smelter Look-up'!$H$4,$V134-4,0))</f>
        <v/>
      </c>
      <c r="J134" s="177" t="str">
        <f ca="1">IF(ISERROR($V134),"",OFFSET('Smelter Look-up'!$I$4,$V134-4,0))</f>
        <v/>
      </c>
      <c r="K134" s="216"/>
      <c r="L134" s="216"/>
      <c r="M134" s="216"/>
      <c r="N134" s="216"/>
      <c r="O134" s="216"/>
      <c r="P134" s="178"/>
      <c r="Q134" s="217"/>
      <c r="R134" s="175" t="str">
        <f ca="1">IF(ISERROR($V134),"",OFFSET('Smelter Look-up'!$C$4,$V134-4,0)&amp;"")</f>
        <v/>
      </c>
      <c r="S134" s="174" t="str">
        <f t="shared" ref="S134:S165" ca="1" si="21">IF(B134="","",IF(ISERROR(MATCH($E134,CL,0)),"Unknown",INDIRECT("'C'!$A$"&amp;MATCH($E134,CL,0)+1)))</f>
        <v/>
      </c>
      <c r="T134" s="174" t="str">
        <f ca="1">IF(B134="","",IF(ISERROR(MATCH($J134,SorP!$B$1:$B$6279,0)),"",INDIRECT("'SorP'!$A$"&amp;MATCH($S134&amp;$J134,SorP!C:C,0))))</f>
        <v/>
      </c>
      <c r="U134" s="194"/>
      <c r="V134" s="218" t="e">
        <f>IF(C134="",NA(),IF(OR(C134="Smelter not listed",C134="Smelter not yet identified"),MATCH($B134&amp;$D134,'Smelter Look-up'!$J:$J,0),MATCH($B134&amp;$C134,'Smelter Look-up'!$J:$J,0)))</f>
        <v>#N/A</v>
      </c>
      <c r="X134" s="219">
        <f t="shared" ref="X134:X165" ca="1" si="22">IF(AND(C134="Smelter not listed",OR(LEN(D134)=0,LEN(E134)=0)),1,0)</f>
        <v>0</v>
      </c>
      <c r="AB134" s="220" t="str">
        <f t="shared" ref="AB134:AB165" si="23">B134&amp;C134</f>
        <v/>
      </c>
    </row>
    <row r="135" spans="1:28" s="219" customFormat="1" ht="20.25">
      <c r="A135" s="174"/>
      <c r="B135" s="175" t="str">
        <f>IF(LEN(A135)=0,"",INDEX('Smelter Look-up'!$A:$A,MATCH($A135,'Smelter Look-up'!$E:$E,0)))</f>
        <v/>
      </c>
      <c r="C135" s="179" t="str">
        <f>IF(LEN(A135)=0,"",INDEX('Smelter Look-up'!$C:$C,MATCH($A135,'Smelter Look-up'!$E:$E,0)))</f>
        <v/>
      </c>
      <c r="D135" s="222"/>
      <c r="E135" s="175" t="str">
        <f ca="1">IF(ISERROR($V135),"",OFFSET('Smelter Look-up'!$D$4,$V135-4,0)&amp;"")</f>
        <v/>
      </c>
      <c r="F135" s="175" t="str">
        <f ca="1">IF(ISERROR($V135),"",OFFSET('Smelter Look-up'!$E$4,$V135-4,0))</f>
        <v/>
      </c>
      <c r="G135" s="175" t="str">
        <f ca="1">IF(C135=$X$4,IF(ISERROR($V135),"Enter smelter details","RMI"),IF(ISERROR($V135),"",OFFSET('Smelter Look-up'!$F$4,$V135-4,0)))</f>
        <v/>
      </c>
      <c r="H135" s="176" t="str">
        <f ca="1">IF(ISERROR($V135),"",OFFSET('Smelter Look-up'!$G$4,$V135-4,0))</f>
        <v/>
      </c>
      <c r="I135" s="177" t="str">
        <f ca="1">IF(ISERROR($V135),"",OFFSET('Smelter Look-up'!$H$4,$V135-4,0))</f>
        <v/>
      </c>
      <c r="J135" s="177" t="str">
        <f ca="1">IF(ISERROR($V135),"",OFFSET('Smelter Look-up'!$I$4,$V135-4,0))</f>
        <v/>
      </c>
      <c r="K135" s="216"/>
      <c r="L135" s="216"/>
      <c r="M135" s="216"/>
      <c r="N135" s="216"/>
      <c r="O135" s="216"/>
      <c r="P135" s="178"/>
      <c r="Q135" s="217"/>
      <c r="R135" s="175" t="str">
        <f ca="1">IF(ISERROR($V135),"",OFFSET('Smelter Look-up'!$C$4,$V135-4,0)&amp;"")</f>
        <v/>
      </c>
      <c r="S135" s="174" t="str">
        <f t="shared" ca="1" si="21"/>
        <v/>
      </c>
      <c r="T135" s="174" t="str">
        <f ca="1">IF(B135="","",IF(ISERROR(MATCH($J135,SorP!$B$1:$B$6279,0)),"",INDIRECT("'SorP'!$A$"&amp;MATCH($S135&amp;$J135,SorP!C:C,0))))</f>
        <v/>
      </c>
      <c r="U135" s="194"/>
      <c r="V135" s="218" t="e">
        <f>IF(C135="",NA(),IF(OR(C135="Smelter not listed",C135="Smelter not yet identified"),MATCH($B135&amp;$D135,'Smelter Look-up'!$J:$J,0),MATCH($B135&amp;$C135,'Smelter Look-up'!$J:$J,0)))</f>
        <v>#N/A</v>
      </c>
      <c r="X135" s="219">
        <f t="shared" ca="1" si="22"/>
        <v>0</v>
      </c>
      <c r="AB135" s="220" t="str">
        <f t="shared" si="23"/>
        <v/>
      </c>
    </row>
    <row r="136" spans="1:28" s="219" customFormat="1" ht="20.25">
      <c r="A136" s="174"/>
      <c r="B136" s="175" t="str">
        <f>IF(LEN(A136)=0,"",INDEX('Smelter Look-up'!$A:$A,MATCH($A136,'Smelter Look-up'!$E:$E,0)))</f>
        <v/>
      </c>
      <c r="C136" s="179" t="str">
        <f>IF(LEN(A136)=0,"",INDEX('Smelter Look-up'!$C:$C,MATCH($A136,'Smelter Look-up'!$E:$E,0)))</f>
        <v/>
      </c>
      <c r="D136" s="222"/>
      <c r="E136" s="175" t="str">
        <f ca="1">IF(ISERROR($V136),"",OFFSET('Smelter Look-up'!$D$4,$V136-4,0)&amp;"")</f>
        <v/>
      </c>
      <c r="F136" s="175" t="str">
        <f ca="1">IF(ISERROR($V136),"",OFFSET('Smelter Look-up'!$E$4,$V136-4,0))</f>
        <v/>
      </c>
      <c r="G136" s="175" t="str">
        <f ca="1">IF(C136=$X$4,IF(ISERROR($V136),"Enter smelter details","RMI"),IF(ISERROR($V136),"",OFFSET('Smelter Look-up'!$F$4,$V136-4,0)))</f>
        <v/>
      </c>
      <c r="H136" s="176" t="str">
        <f ca="1">IF(ISERROR($V136),"",OFFSET('Smelter Look-up'!$G$4,$V136-4,0))</f>
        <v/>
      </c>
      <c r="I136" s="177" t="str">
        <f ca="1">IF(ISERROR($V136),"",OFFSET('Smelter Look-up'!$H$4,$V136-4,0))</f>
        <v/>
      </c>
      <c r="J136" s="177" t="str">
        <f ca="1">IF(ISERROR($V136),"",OFFSET('Smelter Look-up'!$I$4,$V136-4,0))</f>
        <v/>
      </c>
      <c r="K136" s="216"/>
      <c r="L136" s="216"/>
      <c r="M136" s="216"/>
      <c r="N136" s="216"/>
      <c r="O136" s="216"/>
      <c r="P136" s="178"/>
      <c r="Q136" s="217"/>
      <c r="R136" s="175" t="str">
        <f ca="1">IF(ISERROR($V136),"",OFFSET('Smelter Look-up'!$C$4,$V136-4,0)&amp;"")</f>
        <v/>
      </c>
      <c r="S136" s="174" t="str">
        <f t="shared" ca="1" si="21"/>
        <v/>
      </c>
      <c r="T136" s="174" t="str">
        <f ca="1">IF(B136="","",IF(ISERROR(MATCH($J136,SorP!$B$1:$B$6279,0)),"",INDIRECT("'SorP'!$A$"&amp;MATCH($S136&amp;$J136,SorP!C:C,0))))</f>
        <v/>
      </c>
      <c r="U136" s="194"/>
      <c r="V136" s="218" t="e">
        <f>IF(C136="",NA(),IF(OR(C136="Smelter not listed",C136="Smelter not yet identified"),MATCH($B136&amp;$D136,'Smelter Look-up'!$J:$J,0),MATCH($B136&amp;$C136,'Smelter Look-up'!$J:$J,0)))</f>
        <v>#N/A</v>
      </c>
      <c r="X136" s="219">
        <f t="shared" ca="1" si="22"/>
        <v>0</v>
      </c>
      <c r="AB136" s="220" t="str">
        <f t="shared" si="23"/>
        <v/>
      </c>
    </row>
    <row r="137" spans="1:28" s="219" customFormat="1" ht="20.25">
      <c r="A137" s="174"/>
      <c r="B137" s="175" t="str">
        <f>IF(LEN(A137)=0,"",INDEX('Smelter Look-up'!$A:$A,MATCH($A137,'Smelter Look-up'!$E:$E,0)))</f>
        <v/>
      </c>
      <c r="C137" s="179" t="str">
        <f>IF(LEN(A137)=0,"",INDEX('Smelter Look-up'!$C:$C,MATCH($A137,'Smelter Look-up'!$E:$E,0)))</f>
        <v/>
      </c>
      <c r="D137" s="222"/>
      <c r="E137" s="175" t="str">
        <f ca="1">IF(ISERROR($V137),"",OFFSET('Smelter Look-up'!$D$4,$V137-4,0)&amp;"")</f>
        <v/>
      </c>
      <c r="F137" s="175" t="str">
        <f ca="1">IF(ISERROR($V137),"",OFFSET('Smelter Look-up'!$E$4,$V137-4,0))</f>
        <v/>
      </c>
      <c r="G137" s="175" t="str">
        <f ca="1">IF(C137=$X$4,IF(ISERROR($V137),"Enter smelter details","RMI"),IF(ISERROR($V137),"",OFFSET('Smelter Look-up'!$F$4,$V137-4,0)))</f>
        <v/>
      </c>
      <c r="H137" s="176" t="str">
        <f ca="1">IF(ISERROR($V137),"",OFFSET('Smelter Look-up'!$G$4,$V137-4,0))</f>
        <v/>
      </c>
      <c r="I137" s="177" t="str">
        <f ca="1">IF(ISERROR($V137),"",OFFSET('Smelter Look-up'!$H$4,$V137-4,0))</f>
        <v/>
      </c>
      <c r="J137" s="177" t="str">
        <f ca="1">IF(ISERROR($V137),"",OFFSET('Smelter Look-up'!$I$4,$V137-4,0))</f>
        <v/>
      </c>
      <c r="K137" s="216"/>
      <c r="L137" s="216"/>
      <c r="M137" s="216"/>
      <c r="N137" s="216"/>
      <c r="O137" s="216"/>
      <c r="P137" s="178"/>
      <c r="Q137" s="217"/>
      <c r="R137" s="175" t="str">
        <f ca="1">IF(ISERROR($V137),"",OFFSET('Smelter Look-up'!$C$4,$V137-4,0)&amp;"")</f>
        <v/>
      </c>
      <c r="S137" s="174" t="str">
        <f t="shared" ca="1" si="21"/>
        <v/>
      </c>
      <c r="T137" s="174" t="str">
        <f ca="1">IF(B137="","",IF(ISERROR(MATCH($J137,SorP!$B$1:$B$6279,0)),"",INDIRECT("'SorP'!$A$"&amp;MATCH($S137&amp;$J137,SorP!C:C,0))))</f>
        <v/>
      </c>
      <c r="U137" s="194"/>
      <c r="V137" s="218" t="e">
        <f>IF(C137="",NA(),IF(OR(C137="Smelter not listed",C137="Smelter not yet identified"),MATCH($B137&amp;$D137,'Smelter Look-up'!$J:$J,0),MATCH($B137&amp;$C137,'Smelter Look-up'!$J:$J,0)))</f>
        <v>#N/A</v>
      </c>
      <c r="X137" s="219">
        <f t="shared" ca="1" si="22"/>
        <v>0</v>
      </c>
      <c r="AB137" s="220" t="str">
        <f t="shared" si="23"/>
        <v/>
      </c>
    </row>
    <row r="138" spans="1:28" s="219" customFormat="1" ht="20.25">
      <c r="A138" s="174"/>
      <c r="B138" s="175" t="str">
        <f>IF(LEN(A138)=0,"",INDEX('Smelter Look-up'!$A:$A,MATCH($A138,'Smelter Look-up'!$E:$E,0)))</f>
        <v/>
      </c>
      <c r="C138" s="179" t="str">
        <f>IF(LEN(A138)=0,"",INDEX('Smelter Look-up'!$C:$C,MATCH($A138,'Smelter Look-up'!$E:$E,0)))</f>
        <v/>
      </c>
      <c r="D138" s="222"/>
      <c r="E138" s="175" t="str">
        <f ca="1">IF(ISERROR($V138),"",OFFSET('Smelter Look-up'!$D$4,$V138-4,0)&amp;"")</f>
        <v/>
      </c>
      <c r="F138" s="175" t="str">
        <f ca="1">IF(ISERROR($V138),"",OFFSET('Smelter Look-up'!$E$4,$V138-4,0))</f>
        <v/>
      </c>
      <c r="G138" s="175" t="str">
        <f ca="1">IF(C138=$X$4,IF(ISERROR($V138),"Enter smelter details","RMI"),IF(ISERROR($V138),"",OFFSET('Smelter Look-up'!$F$4,$V138-4,0)))</f>
        <v/>
      </c>
      <c r="H138" s="176" t="str">
        <f ca="1">IF(ISERROR($V138),"",OFFSET('Smelter Look-up'!$G$4,$V138-4,0))</f>
        <v/>
      </c>
      <c r="I138" s="177" t="str">
        <f ca="1">IF(ISERROR($V138),"",OFFSET('Smelter Look-up'!$H$4,$V138-4,0))</f>
        <v/>
      </c>
      <c r="J138" s="177" t="str">
        <f ca="1">IF(ISERROR($V138),"",OFFSET('Smelter Look-up'!$I$4,$V138-4,0))</f>
        <v/>
      </c>
      <c r="K138" s="216"/>
      <c r="L138" s="216"/>
      <c r="M138" s="216"/>
      <c r="N138" s="216"/>
      <c r="O138" s="216"/>
      <c r="P138" s="178"/>
      <c r="Q138" s="217"/>
      <c r="R138" s="175" t="str">
        <f ca="1">IF(ISERROR($V138),"",OFFSET('Smelter Look-up'!$C$4,$V138-4,0)&amp;"")</f>
        <v/>
      </c>
      <c r="S138" s="174" t="str">
        <f t="shared" ca="1" si="21"/>
        <v/>
      </c>
      <c r="T138" s="174" t="str">
        <f ca="1">IF(B138="","",IF(ISERROR(MATCH($J138,SorP!$B$1:$B$6279,0)),"",INDIRECT("'SorP'!$A$"&amp;MATCH($S138&amp;$J138,SorP!C:C,0))))</f>
        <v/>
      </c>
      <c r="U138" s="194"/>
      <c r="V138" s="218" t="e">
        <f>IF(C138="",NA(),IF(OR(C138="Smelter not listed",C138="Smelter not yet identified"),MATCH($B138&amp;$D138,'Smelter Look-up'!$J:$J,0),MATCH($B138&amp;$C138,'Smelter Look-up'!$J:$J,0)))</f>
        <v>#N/A</v>
      </c>
      <c r="X138" s="219">
        <f t="shared" ca="1" si="22"/>
        <v>0</v>
      </c>
      <c r="AB138" s="220" t="str">
        <f t="shared" si="23"/>
        <v/>
      </c>
    </row>
    <row r="139" spans="1:28" s="219" customFormat="1" ht="20.25">
      <c r="A139" s="174"/>
      <c r="B139" s="175" t="str">
        <f>IF(LEN(A139)=0,"",INDEX('Smelter Look-up'!$A:$A,MATCH($A139,'Smelter Look-up'!$E:$E,0)))</f>
        <v/>
      </c>
      <c r="C139" s="179" t="str">
        <f>IF(LEN(A139)=0,"",INDEX('Smelter Look-up'!$C:$C,MATCH($A139,'Smelter Look-up'!$E:$E,0)))</f>
        <v/>
      </c>
      <c r="D139" s="222"/>
      <c r="E139" s="175" t="str">
        <f ca="1">IF(ISERROR($V139),"",OFFSET('Smelter Look-up'!$D$4,$V139-4,0)&amp;"")</f>
        <v/>
      </c>
      <c r="F139" s="175" t="str">
        <f ca="1">IF(ISERROR($V139),"",OFFSET('Smelter Look-up'!$E$4,$V139-4,0))</f>
        <v/>
      </c>
      <c r="G139" s="175" t="str">
        <f ca="1">IF(C139=$X$4,IF(ISERROR($V139),"Enter smelter details","RMI"),IF(ISERROR($V139),"",OFFSET('Smelter Look-up'!$F$4,$V139-4,0)))</f>
        <v/>
      </c>
      <c r="H139" s="176" t="str">
        <f ca="1">IF(ISERROR($V139),"",OFFSET('Smelter Look-up'!$G$4,$V139-4,0))</f>
        <v/>
      </c>
      <c r="I139" s="177" t="str">
        <f ca="1">IF(ISERROR($V139),"",OFFSET('Smelter Look-up'!$H$4,$V139-4,0))</f>
        <v/>
      </c>
      <c r="J139" s="177" t="str">
        <f ca="1">IF(ISERROR($V139),"",OFFSET('Smelter Look-up'!$I$4,$V139-4,0))</f>
        <v/>
      </c>
      <c r="K139" s="216"/>
      <c r="L139" s="216"/>
      <c r="M139" s="216"/>
      <c r="N139" s="216"/>
      <c r="O139" s="216"/>
      <c r="P139" s="178"/>
      <c r="Q139" s="217"/>
      <c r="R139" s="175" t="str">
        <f ca="1">IF(ISERROR($V139),"",OFFSET('Smelter Look-up'!$C$4,$V139-4,0)&amp;"")</f>
        <v/>
      </c>
      <c r="S139" s="174" t="str">
        <f t="shared" ca="1" si="21"/>
        <v/>
      </c>
      <c r="T139" s="174" t="str">
        <f ca="1">IF(B139="","",IF(ISERROR(MATCH($J139,SorP!$B$1:$B$6279,0)),"",INDIRECT("'SorP'!$A$"&amp;MATCH($S139&amp;$J139,SorP!C:C,0))))</f>
        <v/>
      </c>
      <c r="U139" s="194"/>
      <c r="V139" s="218" t="e">
        <f>IF(C139="",NA(),IF(OR(C139="Smelter not listed",C139="Smelter not yet identified"),MATCH($B139&amp;$D139,'Smelter Look-up'!$J:$J,0),MATCH($B139&amp;$C139,'Smelter Look-up'!$J:$J,0)))</f>
        <v>#N/A</v>
      </c>
      <c r="X139" s="219">
        <f t="shared" ca="1" si="22"/>
        <v>0</v>
      </c>
      <c r="AB139" s="220" t="str">
        <f t="shared" si="23"/>
        <v/>
      </c>
    </row>
    <row r="140" spans="1:28" s="219" customFormat="1" ht="20.25">
      <c r="A140" s="174"/>
      <c r="B140" s="175" t="str">
        <f>IF(LEN(A140)=0,"",INDEX('Smelter Look-up'!$A:$A,MATCH($A140,'Smelter Look-up'!$E:$E,0)))</f>
        <v/>
      </c>
      <c r="C140" s="179" t="str">
        <f>IF(LEN(A140)=0,"",INDEX('Smelter Look-up'!$C:$C,MATCH($A140,'Smelter Look-up'!$E:$E,0)))</f>
        <v/>
      </c>
      <c r="D140" s="222"/>
      <c r="E140" s="175" t="str">
        <f ca="1">IF(ISERROR($V140),"",OFFSET('Smelter Look-up'!$D$4,$V140-4,0)&amp;"")</f>
        <v/>
      </c>
      <c r="F140" s="175" t="str">
        <f ca="1">IF(ISERROR($V140),"",OFFSET('Smelter Look-up'!$E$4,$V140-4,0))</f>
        <v/>
      </c>
      <c r="G140" s="175" t="str">
        <f ca="1">IF(C140=$X$4,IF(ISERROR($V140),"Enter smelter details","RMI"),IF(ISERROR($V140),"",OFFSET('Smelter Look-up'!$F$4,$V140-4,0)))</f>
        <v/>
      </c>
      <c r="H140" s="176" t="str">
        <f ca="1">IF(ISERROR($V140),"",OFFSET('Smelter Look-up'!$G$4,$V140-4,0))</f>
        <v/>
      </c>
      <c r="I140" s="177" t="str">
        <f ca="1">IF(ISERROR($V140),"",OFFSET('Smelter Look-up'!$H$4,$V140-4,0))</f>
        <v/>
      </c>
      <c r="J140" s="177" t="str">
        <f ca="1">IF(ISERROR($V140),"",OFFSET('Smelter Look-up'!$I$4,$V140-4,0))</f>
        <v/>
      </c>
      <c r="K140" s="216"/>
      <c r="L140" s="216"/>
      <c r="M140" s="216"/>
      <c r="N140" s="216"/>
      <c r="O140" s="216"/>
      <c r="P140" s="178"/>
      <c r="Q140" s="217"/>
      <c r="R140" s="175" t="str">
        <f ca="1">IF(ISERROR($V140),"",OFFSET('Smelter Look-up'!$C$4,$V140-4,0)&amp;"")</f>
        <v/>
      </c>
      <c r="S140" s="174" t="str">
        <f t="shared" ca="1" si="21"/>
        <v/>
      </c>
      <c r="T140" s="174" t="str">
        <f ca="1">IF(B140="","",IF(ISERROR(MATCH($J140,SorP!$B$1:$B$6279,0)),"",INDIRECT("'SorP'!$A$"&amp;MATCH($S140&amp;$J140,SorP!C:C,0))))</f>
        <v/>
      </c>
      <c r="U140" s="194"/>
      <c r="V140" s="218" t="e">
        <f>IF(C140="",NA(),IF(OR(C140="Smelter not listed",C140="Smelter not yet identified"),MATCH($B140&amp;$D140,'Smelter Look-up'!$J:$J,0),MATCH($B140&amp;$C140,'Smelter Look-up'!$J:$J,0)))</f>
        <v>#N/A</v>
      </c>
      <c r="X140" s="219">
        <f t="shared" ca="1" si="22"/>
        <v>0</v>
      </c>
      <c r="AB140" s="220" t="str">
        <f t="shared" si="23"/>
        <v/>
      </c>
    </row>
    <row r="141" spans="1:28" s="219" customFormat="1" ht="20.25">
      <c r="A141" s="174"/>
      <c r="B141" s="175" t="str">
        <f>IF(LEN(A141)=0,"",INDEX('Smelter Look-up'!$A:$A,MATCH($A141,'Smelter Look-up'!$E:$E,0)))</f>
        <v/>
      </c>
      <c r="C141" s="179" t="str">
        <f>IF(LEN(A141)=0,"",INDEX('Smelter Look-up'!$C:$C,MATCH($A141,'Smelter Look-up'!$E:$E,0)))</f>
        <v/>
      </c>
      <c r="D141" s="222"/>
      <c r="E141" s="175" t="str">
        <f ca="1">IF(ISERROR($V141),"",OFFSET('Smelter Look-up'!$D$4,$V141-4,0)&amp;"")</f>
        <v/>
      </c>
      <c r="F141" s="175" t="str">
        <f ca="1">IF(ISERROR($V141),"",OFFSET('Smelter Look-up'!$E$4,$V141-4,0))</f>
        <v/>
      </c>
      <c r="G141" s="175" t="str">
        <f ca="1">IF(C141=$X$4,IF(ISERROR($V141),"Enter smelter details","RMI"),IF(ISERROR($V141),"",OFFSET('Smelter Look-up'!$F$4,$V141-4,0)))</f>
        <v/>
      </c>
      <c r="H141" s="176" t="str">
        <f ca="1">IF(ISERROR($V141),"",OFFSET('Smelter Look-up'!$G$4,$V141-4,0))</f>
        <v/>
      </c>
      <c r="I141" s="177" t="str">
        <f ca="1">IF(ISERROR($V141),"",OFFSET('Smelter Look-up'!$H$4,$V141-4,0))</f>
        <v/>
      </c>
      <c r="J141" s="177" t="str">
        <f ca="1">IF(ISERROR($V141),"",OFFSET('Smelter Look-up'!$I$4,$V141-4,0))</f>
        <v/>
      </c>
      <c r="K141" s="216"/>
      <c r="L141" s="216"/>
      <c r="M141" s="216"/>
      <c r="N141" s="216"/>
      <c r="O141" s="216"/>
      <c r="P141" s="178"/>
      <c r="Q141" s="217"/>
      <c r="R141" s="175" t="str">
        <f ca="1">IF(ISERROR($V141),"",OFFSET('Smelter Look-up'!$C$4,$V141-4,0)&amp;"")</f>
        <v/>
      </c>
      <c r="S141" s="174" t="str">
        <f t="shared" ca="1" si="21"/>
        <v/>
      </c>
      <c r="T141" s="174" t="str">
        <f ca="1">IF(B141="","",IF(ISERROR(MATCH($J141,SorP!$B$1:$B$6279,0)),"",INDIRECT("'SorP'!$A$"&amp;MATCH($S141&amp;$J141,SorP!C:C,0))))</f>
        <v/>
      </c>
      <c r="U141" s="194"/>
      <c r="V141" s="218" t="e">
        <f>IF(C141="",NA(),IF(OR(C141="Smelter not listed",C141="Smelter not yet identified"),MATCH($B141&amp;$D141,'Smelter Look-up'!$J:$J,0),MATCH($B141&amp;$C141,'Smelter Look-up'!$J:$J,0)))</f>
        <v>#N/A</v>
      </c>
      <c r="X141" s="219">
        <f t="shared" ca="1" si="22"/>
        <v>0</v>
      </c>
      <c r="AB141" s="220" t="str">
        <f t="shared" si="23"/>
        <v/>
      </c>
    </row>
    <row r="142" spans="1:28" s="219" customFormat="1" ht="20.25">
      <c r="A142" s="174"/>
      <c r="B142" s="175" t="str">
        <f>IF(LEN(A142)=0,"",INDEX('Smelter Look-up'!$A:$A,MATCH($A142,'Smelter Look-up'!$E:$E,0)))</f>
        <v/>
      </c>
      <c r="C142" s="179" t="str">
        <f>IF(LEN(A142)=0,"",INDEX('Smelter Look-up'!$C:$C,MATCH($A142,'Smelter Look-up'!$E:$E,0)))</f>
        <v/>
      </c>
      <c r="D142" s="222"/>
      <c r="E142" s="175" t="str">
        <f ca="1">IF(ISERROR($V142),"",OFFSET('Smelter Look-up'!$D$4,$V142-4,0)&amp;"")</f>
        <v/>
      </c>
      <c r="F142" s="175" t="str">
        <f ca="1">IF(ISERROR($V142),"",OFFSET('Smelter Look-up'!$E$4,$V142-4,0))</f>
        <v/>
      </c>
      <c r="G142" s="175" t="str">
        <f ca="1">IF(C142=$X$4,IF(ISERROR($V142),"Enter smelter details","RMI"),IF(ISERROR($V142),"",OFFSET('Smelter Look-up'!$F$4,$V142-4,0)))</f>
        <v/>
      </c>
      <c r="H142" s="176" t="str">
        <f ca="1">IF(ISERROR($V142),"",OFFSET('Smelter Look-up'!$G$4,$V142-4,0))</f>
        <v/>
      </c>
      <c r="I142" s="177" t="str">
        <f ca="1">IF(ISERROR($V142),"",OFFSET('Smelter Look-up'!$H$4,$V142-4,0))</f>
        <v/>
      </c>
      <c r="J142" s="177" t="str">
        <f ca="1">IF(ISERROR($V142),"",OFFSET('Smelter Look-up'!$I$4,$V142-4,0))</f>
        <v/>
      </c>
      <c r="K142" s="216"/>
      <c r="L142" s="216"/>
      <c r="M142" s="216"/>
      <c r="N142" s="216"/>
      <c r="O142" s="216"/>
      <c r="P142" s="178"/>
      <c r="Q142" s="217"/>
      <c r="R142" s="175" t="str">
        <f ca="1">IF(ISERROR($V142),"",OFFSET('Smelter Look-up'!$C$4,$V142-4,0)&amp;"")</f>
        <v/>
      </c>
      <c r="S142" s="174" t="str">
        <f t="shared" ca="1" si="21"/>
        <v/>
      </c>
      <c r="T142" s="174" t="str">
        <f ca="1">IF(B142="","",IF(ISERROR(MATCH($J142,SorP!$B$1:$B$6279,0)),"",INDIRECT("'SorP'!$A$"&amp;MATCH($S142&amp;$J142,SorP!C:C,0))))</f>
        <v/>
      </c>
      <c r="U142" s="194"/>
      <c r="V142" s="218" t="e">
        <f>IF(C142="",NA(),IF(OR(C142="Smelter not listed",C142="Smelter not yet identified"),MATCH($B142&amp;$D142,'Smelter Look-up'!$J:$J,0),MATCH($B142&amp;$C142,'Smelter Look-up'!$J:$J,0)))</f>
        <v>#N/A</v>
      </c>
      <c r="X142" s="219">
        <f t="shared" ca="1" si="22"/>
        <v>0</v>
      </c>
      <c r="AB142" s="220" t="str">
        <f t="shared" si="23"/>
        <v/>
      </c>
    </row>
    <row r="143" spans="1:28" s="219" customFormat="1" ht="20.25">
      <c r="A143" s="174"/>
      <c r="B143" s="175" t="str">
        <f>IF(LEN(A143)=0,"",INDEX('Smelter Look-up'!$A:$A,MATCH($A143,'Smelter Look-up'!$E:$E,0)))</f>
        <v/>
      </c>
      <c r="C143" s="179" t="str">
        <f>IF(LEN(A143)=0,"",INDEX('Smelter Look-up'!$C:$C,MATCH($A143,'Smelter Look-up'!$E:$E,0)))</f>
        <v/>
      </c>
      <c r="D143" s="222"/>
      <c r="E143" s="175" t="str">
        <f ca="1">IF(ISERROR($V143),"",OFFSET('Smelter Look-up'!$D$4,$V143-4,0)&amp;"")</f>
        <v/>
      </c>
      <c r="F143" s="175" t="str">
        <f ca="1">IF(ISERROR($V143),"",OFFSET('Smelter Look-up'!$E$4,$V143-4,0))</f>
        <v/>
      </c>
      <c r="G143" s="175" t="str">
        <f ca="1">IF(C143=$X$4,IF(ISERROR($V143),"Enter smelter details","RMI"),IF(ISERROR($V143),"",OFFSET('Smelter Look-up'!$F$4,$V143-4,0)))</f>
        <v/>
      </c>
      <c r="H143" s="176" t="str">
        <f ca="1">IF(ISERROR($V143),"",OFFSET('Smelter Look-up'!$G$4,$V143-4,0))</f>
        <v/>
      </c>
      <c r="I143" s="177" t="str">
        <f ca="1">IF(ISERROR($V143),"",OFFSET('Smelter Look-up'!$H$4,$V143-4,0))</f>
        <v/>
      </c>
      <c r="J143" s="177" t="str">
        <f ca="1">IF(ISERROR($V143),"",OFFSET('Smelter Look-up'!$I$4,$V143-4,0))</f>
        <v/>
      </c>
      <c r="K143" s="216"/>
      <c r="L143" s="216"/>
      <c r="M143" s="216"/>
      <c r="N143" s="216"/>
      <c r="O143" s="216"/>
      <c r="P143" s="178"/>
      <c r="Q143" s="217"/>
      <c r="R143" s="175" t="str">
        <f ca="1">IF(ISERROR($V143),"",OFFSET('Smelter Look-up'!$C$4,$V143-4,0)&amp;"")</f>
        <v/>
      </c>
      <c r="S143" s="174" t="str">
        <f t="shared" ca="1" si="21"/>
        <v/>
      </c>
      <c r="T143" s="174" t="str">
        <f ca="1">IF(B143="","",IF(ISERROR(MATCH($J143,SorP!$B$1:$B$6279,0)),"",INDIRECT("'SorP'!$A$"&amp;MATCH($S143&amp;$J143,SorP!C:C,0))))</f>
        <v/>
      </c>
      <c r="U143" s="194"/>
      <c r="V143" s="218" t="e">
        <f>IF(C143="",NA(),IF(OR(C143="Smelter not listed",C143="Smelter not yet identified"),MATCH($B143&amp;$D143,'Smelter Look-up'!$J:$J,0),MATCH($B143&amp;$C143,'Smelter Look-up'!$J:$J,0)))</f>
        <v>#N/A</v>
      </c>
      <c r="X143" s="219">
        <f t="shared" ca="1" si="22"/>
        <v>0</v>
      </c>
      <c r="AB143" s="220" t="str">
        <f t="shared" si="23"/>
        <v/>
      </c>
    </row>
    <row r="144" spans="1:28" s="219" customFormat="1" ht="20.25">
      <c r="A144" s="174"/>
      <c r="B144" s="175" t="str">
        <f>IF(LEN(A144)=0,"",INDEX('Smelter Look-up'!$A:$A,MATCH($A144,'Smelter Look-up'!$E:$E,0)))</f>
        <v/>
      </c>
      <c r="C144" s="179" t="str">
        <f>IF(LEN(A144)=0,"",INDEX('Smelter Look-up'!$C:$C,MATCH($A144,'Smelter Look-up'!$E:$E,0)))</f>
        <v/>
      </c>
      <c r="D144" s="222"/>
      <c r="E144" s="175" t="str">
        <f ca="1">IF(ISERROR($V144),"",OFFSET('Smelter Look-up'!$D$4,$V144-4,0)&amp;"")</f>
        <v/>
      </c>
      <c r="F144" s="175" t="str">
        <f ca="1">IF(ISERROR($V144),"",OFFSET('Smelter Look-up'!$E$4,$V144-4,0))</f>
        <v/>
      </c>
      <c r="G144" s="175" t="str">
        <f ca="1">IF(C144=$X$4,IF(ISERROR($V144),"Enter smelter details","RMI"),IF(ISERROR($V144),"",OFFSET('Smelter Look-up'!$F$4,$V144-4,0)))</f>
        <v/>
      </c>
      <c r="H144" s="176" t="str">
        <f ca="1">IF(ISERROR($V144),"",OFFSET('Smelter Look-up'!$G$4,$V144-4,0))</f>
        <v/>
      </c>
      <c r="I144" s="177" t="str">
        <f ca="1">IF(ISERROR($V144),"",OFFSET('Smelter Look-up'!$H$4,$V144-4,0))</f>
        <v/>
      </c>
      <c r="J144" s="177" t="str">
        <f ca="1">IF(ISERROR($V144),"",OFFSET('Smelter Look-up'!$I$4,$V144-4,0))</f>
        <v/>
      </c>
      <c r="K144" s="216"/>
      <c r="L144" s="216"/>
      <c r="M144" s="216"/>
      <c r="N144" s="216"/>
      <c r="O144" s="216"/>
      <c r="P144" s="178"/>
      <c r="Q144" s="217"/>
      <c r="R144" s="175" t="str">
        <f ca="1">IF(ISERROR($V144),"",OFFSET('Smelter Look-up'!$C$4,$V144-4,0)&amp;"")</f>
        <v/>
      </c>
      <c r="S144" s="174" t="str">
        <f t="shared" ca="1" si="21"/>
        <v/>
      </c>
      <c r="T144" s="174" t="str">
        <f ca="1">IF(B144="","",IF(ISERROR(MATCH($J144,SorP!$B$1:$B$6279,0)),"",INDIRECT("'SorP'!$A$"&amp;MATCH($S144&amp;$J144,SorP!C:C,0))))</f>
        <v/>
      </c>
      <c r="U144" s="194"/>
      <c r="V144" s="218" t="e">
        <f>IF(C144="",NA(),IF(OR(C144="Smelter not listed",C144="Smelter not yet identified"),MATCH($B144&amp;$D144,'Smelter Look-up'!$J:$J,0),MATCH($B144&amp;$C144,'Smelter Look-up'!$J:$J,0)))</f>
        <v>#N/A</v>
      </c>
      <c r="X144" s="219">
        <f t="shared" ca="1" si="22"/>
        <v>0</v>
      </c>
      <c r="AB144" s="220" t="str">
        <f t="shared" si="23"/>
        <v/>
      </c>
    </row>
    <row r="145" spans="1:28" s="219" customFormat="1" ht="20.25">
      <c r="A145" s="174"/>
      <c r="B145" s="175" t="str">
        <f>IF(LEN(A145)=0,"",INDEX('Smelter Look-up'!$A:$A,MATCH($A145,'Smelter Look-up'!$E:$E,0)))</f>
        <v/>
      </c>
      <c r="C145" s="179" t="str">
        <f>IF(LEN(A145)=0,"",INDEX('Smelter Look-up'!$C:$C,MATCH($A145,'Smelter Look-up'!$E:$E,0)))</f>
        <v/>
      </c>
      <c r="D145" s="222"/>
      <c r="E145" s="175" t="str">
        <f ca="1">IF(ISERROR($V145),"",OFFSET('Smelter Look-up'!$D$4,$V145-4,0)&amp;"")</f>
        <v/>
      </c>
      <c r="F145" s="175" t="str">
        <f ca="1">IF(ISERROR($V145),"",OFFSET('Smelter Look-up'!$E$4,$V145-4,0))</f>
        <v/>
      </c>
      <c r="G145" s="175" t="str">
        <f ca="1">IF(C145=$X$4,IF(ISERROR($V145),"Enter smelter details","RMI"),IF(ISERROR($V145),"",OFFSET('Smelter Look-up'!$F$4,$V145-4,0)))</f>
        <v/>
      </c>
      <c r="H145" s="176" t="str">
        <f ca="1">IF(ISERROR($V145),"",OFFSET('Smelter Look-up'!$G$4,$V145-4,0))</f>
        <v/>
      </c>
      <c r="I145" s="177" t="str">
        <f ca="1">IF(ISERROR($V145),"",OFFSET('Smelter Look-up'!$H$4,$V145-4,0))</f>
        <v/>
      </c>
      <c r="J145" s="177" t="str">
        <f ca="1">IF(ISERROR($V145),"",OFFSET('Smelter Look-up'!$I$4,$V145-4,0))</f>
        <v/>
      </c>
      <c r="K145" s="216"/>
      <c r="L145" s="216"/>
      <c r="M145" s="216"/>
      <c r="N145" s="216"/>
      <c r="O145" s="216"/>
      <c r="P145" s="178"/>
      <c r="Q145" s="217"/>
      <c r="R145" s="175" t="str">
        <f ca="1">IF(ISERROR($V145),"",OFFSET('Smelter Look-up'!$C$4,$V145-4,0)&amp;"")</f>
        <v/>
      </c>
      <c r="S145" s="174" t="str">
        <f t="shared" ca="1" si="21"/>
        <v/>
      </c>
      <c r="T145" s="174" t="str">
        <f ca="1">IF(B145="","",IF(ISERROR(MATCH($J145,SorP!$B$1:$B$6279,0)),"",INDIRECT("'SorP'!$A$"&amp;MATCH($S145&amp;$J145,SorP!C:C,0))))</f>
        <v/>
      </c>
      <c r="U145" s="194"/>
      <c r="V145" s="218" t="e">
        <f>IF(C145="",NA(),IF(OR(C145="Smelter not listed",C145="Smelter not yet identified"),MATCH($B145&amp;$D145,'Smelter Look-up'!$J:$J,0),MATCH($B145&amp;$C145,'Smelter Look-up'!$J:$J,0)))</f>
        <v>#N/A</v>
      </c>
      <c r="X145" s="219">
        <f t="shared" ca="1" si="22"/>
        <v>0</v>
      </c>
      <c r="AB145" s="220" t="str">
        <f t="shared" si="23"/>
        <v/>
      </c>
    </row>
    <row r="146" spans="1:28" s="219" customFormat="1" ht="20.25">
      <c r="A146" s="174"/>
      <c r="B146" s="175" t="str">
        <f>IF(LEN(A146)=0,"",INDEX('Smelter Look-up'!$A:$A,MATCH($A146,'Smelter Look-up'!$E:$E,0)))</f>
        <v/>
      </c>
      <c r="C146" s="179" t="str">
        <f>IF(LEN(A146)=0,"",INDEX('Smelter Look-up'!$C:$C,MATCH($A146,'Smelter Look-up'!$E:$E,0)))</f>
        <v/>
      </c>
      <c r="D146" s="222"/>
      <c r="E146" s="175" t="str">
        <f ca="1">IF(ISERROR($V146),"",OFFSET('Smelter Look-up'!$D$4,$V146-4,0)&amp;"")</f>
        <v/>
      </c>
      <c r="F146" s="175" t="str">
        <f ca="1">IF(ISERROR($V146),"",OFFSET('Smelter Look-up'!$E$4,$V146-4,0))</f>
        <v/>
      </c>
      <c r="G146" s="175" t="str">
        <f ca="1">IF(C146=$X$4,IF(ISERROR($V146),"Enter smelter details","RMI"),IF(ISERROR($V146),"",OFFSET('Smelter Look-up'!$F$4,$V146-4,0)))</f>
        <v/>
      </c>
      <c r="H146" s="176" t="str">
        <f ca="1">IF(ISERROR($V146),"",OFFSET('Smelter Look-up'!$G$4,$V146-4,0))</f>
        <v/>
      </c>
      <c r="I146" s="177" t="str">
        <f ca="1">IF(ISERROR($V146),"",OFFSET('Smelter Look-up'!$H$4,$V146-4,0))</f>
        <v/>
      </c>
      <c r="J146" s="177" t="str">
        <f ca="1">IF(ISERROR($V146),"",OFFSET('Smelter Look-up'!$I$4,$V146-4,0))</f>
        <v/>
      </c>
      <c r="K146" s="216"/>
      <c r="L146" s="216"/>
      <c r="M146" s="216"/>
      <c r="N146" s="216"/>
      <c r="O146" s="216"/>
      <c r="P146" s="178"/>
      <c r="Q146" s="217"/>
      <c r="R146" s="175" t="str">
        <f ca="1">IF(ISERROR($V146),"",OFFSET('Smelter Look-up'!$C$4,$V146-4,0)&amp;"")</f>
        <v/>
      </c>
      <c r="S146" s="174" t="str">
        <f t="shared" ca="1" si="21"/>
        <v/>
      </c>
      <c r="T146" s="174" t="str">
        <f ca="1">IF(B146="","",IF(ISERROR(MATCH($J146,SorP!$B$1:$B$6279,0)),"",INDIRECT("'SorP'!$A$"&amp;MATCH($S146&amp;$J146,SorP!C:C,0))))</f>
        <v/>
      </c>
      <c r="U146" s="194"/>
      <c r="V146" s="218" t="e">
        <f>IF(C146="",NA(),IF(OR(C146="Smelter not listed",C146="Smelter not yet identified"),MATCH($B146&amp;$D146,'Smelter Look-up'!$J:$J,0),MATCH($B146&amp;$C146,'Smelter Look-up'!$J:$J,0)))</f>
        <v>#N/A</v>
      </c>
      <c r="X146" s="219">
        <f t="shared" ca="1" si="22"/>
        <v>0</v>
      </c>
      <c r="AB146" s="220" t="str">
        <f t="shared" si="23"/>
        <v/>
      </c>
    </row>
    <row r="147" spans="1:28" s="219" customFormat="1" ht="20.25">
      <c r="A147" s="174"/>
      <c r="B147" s="175" t="str">
        <f>IF(LEN(A147)=0,"",INDEX('Smelter Look-up'!$A:$A,MATCH($A147,'Smelter Look-up'!$E:$E,0)))</f>
        <v/>
      </c>
      <c r="C147" s="179" t="str">
        <f>IF(LEN(A147)=0,"",INDEX('Smelter Look-up'!$C:$C,MATCH($A147,'Smelter Look-up'!$E:$E,0)))</f>
        <v/>
      </c>
      <c r="D147" s="222"/>
      <c r="E147" s="175" t="str">
        <f ca="1">IF(ISERROR($V147),"",OFFSET('Smelter Look-up'!$D$4,$V147-4,0)&amp;"")</f>
        <v/>
      </c>
      <c r="F147" s="175" t="str">
        <f ca="1">IF(ISERROR($V147),"",OFFSET('Smelter Look-up'!$E$4,$V147-4,0))</f>
        <v/>
      </c>
      <c r="G147" s="175" t="str">
        <f ca="1">IF(C147=$X$4,IF(ISERROR($V147),"Enter smelter details","RMI"),IF(ISERROR($V147),"",OFFSET('Smelter Look-up'!$F$4,$V147-4,0)))</f>
        <v/>
      </c>
      <c r="H147" s="176" t="str">
        <f ca="1">IF(ISERROR($V147),"",OFFSET('Smelter Look-up'!$G$4,$V147-4,0))</f>
        <v/>
      </c>
      <c r="I147" s="177" t="str">
        <f ca="1">IF(ISERROR($V147),"",OFFSET('Smelter Look-up'!$H$4,$V147-4,0))</f>
        <v/>
      </c>
      <c r="J147" s="177" t="str">
        <f ca="1">IF(ISERROR($V147),"",OFFSET('Smelter Look-up'!$I$4,$V147-4,0))</f>
        <v/>
      </c>
      <c r="K147" s="216"/>
      <c r="L147" s="216"/>
      <c r="M147" s="216"/>
      <c r="N147" s="216"/>
      <c r="O147" s="216"/>
      <c r="P147" s="178"/>
      <c r="Q147" s="217"/>
      <c r="R147" s="175" t="str">
        <f ca="1">IF(ISERROR($V147),"",OFFSET('Smelter Look-up'!$C$4,$V147-4,0)&amp;"")</f>
        <v/>
      </c>
      <c r="S147" s="174" t="str">
        <f t="shared" ca="1" si="21"/>
        <v/>
      </c>
      <c r="T147" s="174" t="str">
        <f ca="1">IF(B147="","",IF(ISERROR(MATCH($J147,SorP!$B$1:$B$6279,0)),"",INDIRECT("'SorP'!$A$"&amp;MATCH($S147&amp;$J147,SorP!C:C,0))))</f>
        <v/>
      </c>
      <c r="U147" s="194"/>
      <c r="V147" s="218" t="e">
        <f>IF(C147="",NA(),IF(OR(C147="Smelter not listed",C147="Smelter not yet identified"),MATCH($B147&amp;$D147,'Smelter Look-up'!$J:$J,0),MATCH($B147&amp;$C147,'Smelter Look-up'!$J:$J,0)))</f>
        <v>#N/A</v>
      </c>
      <c r="X147" s="219">
        <f t="shared" ca="1" si="22"/>
        <v>0</v>
      </c>
      <c r="AB147" s="220" t="str">
        <f t="shared" si="23"/>
        <v/>
      </c>
    </row>
    <row r="148" spans="1:28" s="219" customFormat="1" ht="20.25">
      <c r="A148" s="174"/>
      <c r="B148" s="175" t="str">
        <f>IF(LEN(A148)=0,"",INDEX('Smelter Look-up'!$A:$A,MATCH($A148,'Smelter Look-up'!$E:$E,0)))</f>
        <v/>
      </c>
      <c r="C148" s="179" t="str">
        <f>IF(LEN(A148)=0,"",INDEX('Smelter Look-up'!$C:$C,MATCH($A148,'Smelter Look-up'!$E:$E,0)))</f>
        <v/>
      </c>
      <c r="D148" s="222"/>
      <c r="E148" s="175" t="str">
        <f ca="1">IF(ISERROR($V148),"",OFFSET('Smelter Look-up'!$D$4,$V148-4,0)&amp;"")</f>
        <v/>
      </c>
      <c r="F148" s="175" t="str">
        <f ca="1">IF(ISERROR($V148),"",OFFSET('Smelter Look-up'!$E$4,$V148-4,0))</f>
        <v/>
      </c>
      <c r="G148" s="175" t="str">
        <f ca="1">IF(C148=$X$4,IF(ISERROR($V148),"Enter smelter details","RMI"),IF(ISERROR($V148),"",OFFSET('Smelter Look-up'!$F$4,$V148-4,0)))</f>
        <v/>
      </c>
      <c r="H148" s="176" t="str">
        <f ca="1">IF(ISERROR($V148),"",OFFSET('Smelter Look-up'!$G$4,$V148-4,0))</f>
        <v/>
      </c>
      <c r="I148" s="177" t="str">
        <f ca="1">IF(ISERROR($V148),"",OFFSET('Smelter Look-up'!$H$4,$V148-4,0))</f>
        <v/>
      </c>
      <c r="J148" s="177" t="str">
        <f ca="1">IF(ISERROR($V148),"",OFFSET('Smelter Look-up'!$I$4,$V148-4,0))</f>
        <v/>
      </c>
      <c r="K148" s="216"/>
      <c r="L148" s="216"/>
      <c r="M148" s="216"/>
      <c r="N148" s="216"/>
      <c r="O148" s="216"/>
      <c r="P148" s="178"/>
      <c r="Q148" s="217"/>
      <c r="R148" s="175" t="str">
        <f ca="1">IF(ISERROR($V148),"",OFFSET('Smelter Look-up'!$C$4,$V148-4,0)&amp;"")</f>
        <v/>
      </c>
      <c r="S148" s="174" t="str">
        <f t="shared" ca="1" si="21"/>
        <v/>
      </c>
      <c r="T148" s="174" t="str">
        <f ca="1">IF(B148="","",IF(ISERROR(MATCH($J148,SorP!$B$1:$B$6279,0)),"",INDIRECT("'SorP'!$A$"&amp;MATCH($S148&amp;$J148,SorP!C:C,0))))</f>
        <v/>
      </c>
      <c r="U148" s="194"/>
      <c r="V148" s="218" t="e">
        <f>IF(C148="",NA(),IF(OR(C148="Smelter not listed",C148="Smelter not yet identified"),MATCH($B148&amp;$D148,'Smelter Look-up'!$J:$J,0),MATCH($B148&amp;$C148,'Smelter Look-up'!$J:$J,0)))</f>
        <v>#N/A</v>
      </c>
      <c r="X148" s="219">
        <f t="shared" ca="1" si="22"/>
        <v>0</v>
      </c>
      <c r="AB148" s="220" t="str">
        <f t="shared" si="23"/>
        <v/>
      </c>
    </row>
    <row r="149" spans="1:28" s="219" customFormat="1" ht="20.25">
      <c r="A149" s="174"/>
      <c r="B149" s="175" t="str">
        <f>IF(LEN(A149)=0,"",INDEX('Smelter Look-up'!$A:$A,MATCH($A149,'Smelter Look-up'!$E:$E,0)))</f>
        <v/>
      </c>
      <c r="C149" s="179" t="str">
        <f>IF(LEN(A149)=0,"",INDEX('Smelter Look-up'!$C:$C,MATCH($A149,'Smelter Look-up'!$E:$E,0)))</f>
        <v/>
      </c>
      <c r="D149" s="222"/>
      <c r="E149" s="175" t="str">
        <f ca="1">IF(ISERROR($V149),"",OFFSET('Smelter Look-up'!$D$4,$V149-4,0)&amp;"")</f>
        <v/>
      </c>
      <c r="F149" s="175" t="str">
        <f ca="1">IF(ISERROR($V149),"",OFFSET('Smelter Look-up'!$E$4,$V149-4,0))</f>
        <v/>
      </c>
      <c r="G149" s="175" t="str">
        <f ca="1">IF(C149=$X$4,IF(ISERROR($V149),"Enter smelter details","RMI"),IF(ISERROR($V149),"",OFFSET('Smelter Look-up'!$F$4,$V149-4,0)))</f>
        <v/>
      </c>
      <c r="H149" s="176" t="str">
        <f ca="1">IF(ISERROR($V149),"",OFFSET('Smelter Look-up'!$G$4,$V149-4,0))</f>
        <v/>
      </c>
      <c r="I149" s="177" t="str">
        <f ca="1">IF(ISERROR($V149),"",OFFSET('Smelter Look-up'!$H$4,$V149-4,0))</f>
        <v/>
      </c>
      <c r="J149" s="177" t="str">
        <f ca="1">IF(ISERROR($V149),"",OFFSET('Smelter Look-up'!$I$4,$V149-4,0))</f>
        <v/>
      </c>
      <c r="K149" s="216"/>
      <c r="L149" s="216"/>
      <c r="M149" s="216"/>
      <c r="N149" s="216"/>
      <c r="O149" s="216"/>
      <c r="P149" s="178"/>
      <c r="Q149" s="217"/>
      <c r="R149" s="175" t="str">
        <f ca="1">IF(ISERROR($V149),"",OFFSET('Smelter Look-up'!$C$4,$V149-4,0)&amp;"")</f>
        <v/>
      </c>
      <c r="S149" s="174" t="str">
        <f t="shared" ca="1" si="21"/>
        <v/>
      </c>
      <c r="T149" s="174" t="str">
        <f ca="1">IF(B149="","",IF(ISERROR(MATCH($J149,SorP!$B$1:$B$6279,0)),"",INDIRECT("'SorP'!$A$"&amp;MATCH($S149&amp;$J149,SorP!C:C,0))))</f>
        <v/>
      </c>
      <c r="U149" s="194"/>
      <c r="V149" s="218" t="e">
        <f>IF(C149="",NA(),IF(OR(C149="Smelter not listed",C149="Smelter not yet identified"),MATCH($B149&amp;$D149,'Smelter Look-up'!$J:$J,0),MATCH($B149&amp;$C149,'Smelter Look-up'!$J:$J,0)))</f>
        <v>#N/A</v>
      </c>
      <c r="X149" s="219">
        <f t="shared" ca="1" si="22"/>
        <v>0</v>
      </c>
      <c r="AB149" s="220" t="str">
        <f t="shared" si="23"/>
        <v/>
      </c>
    </row>
    <row r="150" spans="1:28" s="219" customFormat="1" ht="20.25">
      <c r="A150" s="174"/>
      <c r="B150" s="175" t="str">
        <f>IF(LEN(A150)=0,"",INDEX('Smelter Look-up'!$A:$A,MATCH($A150,'Smelter Look-up'!$E:$E,0)))</f>
        <v/>
      </c>
      <c r="C150" s="179" t="str">
        <f>IF(LEN(A150)=0,"",INDEX('Smelter Look-up'!$C:$C,MATCH($A150,'Smelter Look-up'!$E:$E,0)))</f>
        <v/>
      </c>
      <c r="D150" s="222"/>
      <c r="E150" s="175" t="str">
        <f ca="1">IF(ISERROR($V150),"",OFFSET('Smelter Look-up'!$D$4,$V150-4,0)&amp;"")</f>
        <v/>
      </c>
      <c r="F150" s="175" t="str">
        <f ca="1">IF(ISERROR($V150),"",OFFSET('Smelter Look-up'!$E$4,$V150-4,0))</f>
        <v/>
      </c>
      <c r="G150" s="175" t="str">
        <f ca="1">IF(C150=$X$4,IF(ISERROR($V150),"Enter smelter details","RMI"),IF(ISERROR($V150),"",OFFSET('Smelter Look-up'!$F$4,$V150-4,0)))</f>
        <v/>
      </c>
      <c r="H150" s="176" t="str">
        <f ca="1">IF(ISERROR($V150),"",OFFSET('Smelter Look-up'!$G$4,$V150-4,0))</f>
        <v/>
      </c>
      <c r="I150" s="177" t="str">
        <f ca="1">IF(ISERROR($V150),"",OFFSET('Smelter Look-up'!$H$4,$V150-4,0))</f>
        <v/>
      </c>
      <c r="J150" s="177" t="str">
        <f ca="1">IF(ISERROR($V150),"",OFFSET('Smelter Look-up'!$I$4,$V150-4,0))</f>
        <v/>
      </c>
      <c r="K150" s="216"/>
      <c r="L150" s="216"/>
      <c r="M150" s="216"/>
      <c r="N150" s="216"/>
      <c r="O150" s="216"/>
      <c r="P150" s="178"/>
      <c r="Q150" s="217"/>
      <c r="R150" s="175" t="str">
        <f ca="1">IF(ISERROR($V150),"",OFFSET('Smelter Look-up'!$C$4,$V150-4,0)&amp;"")</f>
        <v/>
      </c>
      <c r="S150" s="174" t="str">
        <f t="shared" ca="1" si="21"/>
        <v/>
      </c>
      <c r="T150" s="174" t="str">
        <f ca="1">IF(B150="","",IF(ISERROR(MATCH($J150,SorP!$B$1:$B$6279,0)),"",INDIRECT("'SorP'!$A$"&amp;MATCH($S150&amp;$J150,SorP!C:C,0))))</f>
        <v/>
      </c>
      <c r="U150" s="194"/>
      <c r="V150" s="218" t="e">
        <f>IF(C150="",NA(),IF(OR(C150="Smelter not listed",C150="Smelter not yet identified"),MATCH($B150&amp;$D150,'Smelter Look-up'!$J:$J,0),MATCH($B150&amp;$C150,'Smelter Look-up'!$J:$J,0)))</f>
        <v>#N/A</v>
      </c>
      <c r="X150" s="219">
        <f t="shared" ca="1" si="22"/>
        <v>0</v>
      </c>
      <c r="AB150" s="220" t="str">
        <f t="shared" si="23"/>
        <v/>
      </c>
    </row>
    <row r="151" spans="1:28" s="219" customFormat="1" ht="20.25">
      <c r="A151" s="174"/>
      <c r="B151" s="175" t="str">
        <f>IF(LEN(A151)=0,"",INDEX('Smelter Look-up'!$A:$A,MATCH($A151,'Smelter Look-up'!$E:$E,0)))</f>
        <v/>
      </c>
      <c r="C151" s="179" t="str">
        <f>IF(LEN(A151)=0,"",INDEX('Smelter Look-up'!$C:$C,MATCH($A151,'Smelter Look-up'!$E:$E,0)))</f>
        <v/>
      </c>
      <c r="D151" s="222"/>
      <c r="E151" s="175" t="str">
        <f ca="1">IF(ISERROR($V151),"",OFFSET('Smelter Look-up'!$D$4,$V151-4,0)&amp;"")</f>
        <v/>
      </c>
      <c r="F151" s="175" t="str">
        <f ca="1">IF(ISERROR($V151),"",OFFSET('Smelter Look-up'!$E$4,$V151-4,0))</f>
        <v/>
      </c>
      <c r="G151" s="175" t="str">
        <f ca="1">IF(C151=$X$4,IF(ISERROR($V151),"Enter smelter details","RMI"),IF(ISERROR($V151),"",OFFSET('Smelter Look-up'!$F$4,$V151-4,0)))</f>
        <v/>
      </c>
      <c r="H151" s="176" t="str">
        <f ca="1">IF(ISERROR($V151),"",OFFSET('Smelter Look-up'!$G$4,$V151-4,0))</f>
        <v/>
      </c>
      <c r="I151" s="177" t="str">
        <f ca="1">IF(ISERROR($V151),"",OFFSET('Smelter Look-up'!$H$4,$V151-4,0))</f>
        <v/>
      </c>
      <c r="J151" s="177" t="str">
        <f ca="1">IF(ISERROR($V151),"",OFFSET('Smelter Look-up'!$I$4,$V151-4,0))</f>
        <v/>
      </c>
      <c r="K151" s="216"/>
      <c r="L151" s="216"/>
      <c r="M151" s="216"/>
      <c r="N151" s="216"/>
      <c r="O151" s="216"/>
      <c r="P151" s="178"/>
      <c r="Q151" s="217"/>
      <c r="R151" s="175" t="str">
        <f ca="1">IF(ISERROR($V151),"",OFFSET('Smelter Look-up'!$C$4,$V151-4,0)&amp;"")</f>
        <v/>
      </c>
      <c r="S151" s="174" t="str">
        <f t="shared" ca="1" si="21"/>
        <v/>
      </c>
      <c r="T151" s="174" t="str">
        <f ca="1">IF(B151="","",IF(ISERROR(MATCH($J151,SorP!$B$1:$B$6279,0)),"",INDIRECT("'SorP'!$A$"&amp;MATCH($S151&amp;$J151,SorP!C:C,0))))</f>
        <v/>
      </c>
      <c r="U151" s="194"/>
      <c r="V151" s="218" t="e">
        <f>IF(C151="",NA(),IF(OR(C151="Smelter not listed",C151="Smelter not yet identified"),MATCH($B151&amp;$D151,'Smelter Look-up'!$J:$J,0),MATCH($B151&amp;$C151,'Smelter Look-up'!$J:$J,0)))</f>
        <v>#N/A</v>
      </c>
      <c r="X151" s="219">
        <f t="shared" ca="1" si="22"/>
        <v>0</v>
      </c>
      <c r="AB151" s="220" t="str">
        <f t="shared" si="23"/>
        <v/>
      </c>
    </row>
    <row r="152" spans="1:28" s="219" customFormat="1" ht="20.25">
      <c r="A152" s="174"/>
      <c r="B152" s="175" t="str">
        <f>IF(LEN(A152)=0,"",INDEX('Smelter Look-up'!$A:$A,MATCH($A152,'Smelter Look-up'!$E:$E,0)))</f>
        <v/>
      </c>
      <c r="C152" s="179" t="str">
        <f>IF(LEN(A152)=0,"",INDEX('Smelter Look-up'!$C:$C,MATCH($A152,'Smelter Look-up'!$E:$E,0)))</f>
        <v/>
      </c>
      <c r="D152" s="222"/>
      <c r="E152" s="175" t="str">
        <f ca="1">IF(ISERROR($V152),"",OFFSET('Smelter Look-up'!$D$4,$V152-4,0)&amp;"")</f>
        <v/>
      </c>
      <c r="F152" s="175" t="str">
        <f ca="1">IF(ISERROR($V152),"",OFFSET('Smelter Look-up'!$E$4,$V152-4,0))</f>
        <v/>
      </c>
      <c r="G152" s="175" t="str">
        <f ca="1">IF(C152=$X$4,IF(ISERROR($V152),"Enter smelter details","RMI"),IF(ISERROR($V152),"",OFFSET('Smelter Look-up'!$F$4,$V152-4,0)))</f>
        <v/>
      </c>
      <c r="H152" s="176" t="str">
        <f ca="1">IF(ISERROR($V152),"",OFFSET('Smelter Look-up'!$G$4,$V152-4,0))</f>
        <v/>
      </c>
      <c r="I152" s="177" t="str">
        <f ca="1">IF(ISERROR($V152),"",OFFSET('Smelter Look-up'!$H$4,$V152-4,0))</f>
        <v/>
      </c>
      <c r="J152" s="177" t="str">
        <f ca="1">IF(ISERROR($V152),"",OFFSET('Smelter Look-up'!$I$4,$V152-4,0))</f>
        <v/>
      </c>
      <c r="K152" s="216"/>
      <c r="L152" s="216"/>
      <c r="M152" s="216"/>
      <c r="N152" s="216"/>
      <c r="O152" s="216"/>
      <c r="P152" s="178"/>
      <c r="Q152" s="217"/>
      <c r="R152" s="175" t="str">
        <f ca="1">IF(ISERROR($V152),"",OFFSET('Smelter Look-up'!$C$4,$V152-4,0)&amp;"")</f>
        <v/>
      </c>
      <c r="S152" s="174" t="str">
        <f t="shared" ca="1" si="21"/>
        <v/>
      </c>
      <c r="T152" s="174" t="str">
        <f ca="1">IF(B152="","",IF(ISERROR(MATCH($J152,SorP!$B$1:$B$6279,0)),"",INDIRECT("'SorP'!$A$"&amp;MATCH($S152&amp;$J152,SorP!C:C,0))))</f>
        <v/>
      </c>
      <c r="U152" s="194"/>
      <c r="V152" s="218" t="e">
        <f>IF(C152="",NA(),IF(OR(C152="Smelter not listed",C152="Smelter not yet identified"),MATCH($B152&amp;$D152,'Smelter Look-up'!$J:$J,0),MATCH($B152&amp;$C152,'Smelter Look-up'!$J:$J,0)))</f>
        <v>#N/A</v>
      </c>
      <c r="X152" s="219">
        <f t="shared" ca="1" si="22"/>
        <v>0</v>
      </c>
      <c r="AB152" s="220" t="str">
        <f t="shared" si="23"/>
        <v/>
      </c>
    </row>
    <row r="153" spans="1:28" s="219" customFormat="1" ht="20.25">
      <c r="A153" s="174"/>
      <c r="B153" s="175" t="str">
        <f>IF(LEN(A153)=0,"",INDEX('Smelter Look-up'!$A:$A,MATCH($A153,'Smelter Look-up'!$E:$E,0)))</f>
        <v/>
      </c>
      <c r="C153" s="179" t="str">
        <f>IF(LEN(A153)=0,"",INDEX('Smelter Look-up'!$C:$C,MATCH($A153,'Smelter Look-up'!$E:$E,0)))</f>
        <v/>
      </c>
      <c r="D153" s="222"/>
      <c r="E153" s="175" t="str">
        <f ca="1">IF(ISERROR($V153),"",OFFSET('Smelter Look-up'!$D$4,$V153-4,0)&amp;"")</f>
        <v/>
      </c>
      <c r="F153" s="175" t="str">
        <f ca="1">IF(ISERROR($V153),"",OFFSET('Smelter Look-up'!$E$4,$V153-4,0))</f>
        <v/>
      </c>
      <c r="G153" s="175" t="str">
        <f ca="1">IF(C153=$X$4,IF(ISERROR($V153),"Enter smelter details","RMI"),IF(ISERROR($V153),"",OFFSET('Smelter Look-up'!$F$4,$V153-4,0)))</f>
        <v/>
      </c>
      <c r="H153" s="176" t="str">
        <f ca="1">IF(ISERROR($V153),"",OFFSET('Smelter Look-up'!$G$4,$V153-4,0))</f>
        <v/>
      </c>
      <c r="I153" s="177" t="str">
        <f ca="1">IF(ISERROR($V153),"",OFFSET('Smelter Look-up'!$H$4,$V153-4,0))</f>
        <v/>
      </c>
      <c r="J153" s="177" t="str">
        <f ca="1">IF(ISERROR($V153),"",OFFSET('Smelter Look-up'!$I$4,$V153-4,0))</f>
        <v/>
      </c>
      <c r="K153" s="216"/>
      <c r="L153" s="216"/>
      <c r="M153" s="216"/>
      <c r="N153" s="216"/>
      <c r="O153" s="216"/>
      <c r="P153" s="178"/>
      <c r="Q153" s="217"/>
      <c r="R153" s="175" t="str">
        <f ca="1">IF(ISERROR($V153),"",OFFSET('Smelter Look-up'!$C$4,$V153-4,0)&amp;"")</f>
        <v/>
      </c>
      <c r="S153" s="174" t="str">
        <f t="shared" ca="1" si="21"/>
        <v/>
      </c>
      <c r="T153" s="174" t="str">
        <f ca="1">IF(B153="","",IF(ISERROR(MATCH($J153,SorP!$B$1:$B$6279,0)),"",INDIRECT("'SorP'!$A$"&amp;MATCH($S153&amp;$J153,SorP!C:C,0))))</f>
        <v/>
      </c>
      <c r="U153" s="194"/>
      <c r="V153" s="218" t="e">
        <f>IF(C153="",NA(),IF(OR(C153="Smelter not listed",C153="Smelter not yet identified"),MATCH($B153&amp;$D153,'Smelter Look-up'!$J:$J,0),MATCH($B153&amp;$C153,'Smelter Look-up'!$J:$J,0)))</f>
        <v>#N/A</v>
      </c>
      <c r="X153" s="219">
        <f t="shared" ca="1" si="22"/>
        <v>0</v>
      </c>
      <c r="AB153" s="220" t="str">
        <f t="shared" si="23"/>
        <v/>
      </c>
    </row>
    <row r="154" spans="1:28" s="219" customFormat="1" ht="20.25">
      <c r="A154" s="174"/>
      <c r="B154" s="175" t="str">
        <f>IF(LEN(A154)=0,"",INDEX('Smelter Look-up'!$A:$A,MATCH($A154,'Smelter Look-up'!$E:$E,0)))</f>
        <v/>
      </c>
      <c r="C154" s="179" t="str">
        <f>IF(LEN(A154)=0,"",INDEX('Smelter Look-up'!$C:$C,MATCH($A154,'Smelter Look-up'!$E:$E,0)))</f>
        <v/>
      </c>
      <c r="D154" s="222"/>
      <c r="E154" s="175" t="str">
        <f ca="1">IF(ISERROR($V154),"",OFFSET('Smelter Look-up'!$D$4,$V154-4,0)&amp;"")</f>
        <v/>
      </c>
      <c r="F154" s="175" t="str">
        <f ca="1">IF(ISERROR($V154),"",OFFSET('Smelter Look-up'!$E$4,$V154-4,0))</f>
        <v/>
      </c>
      <c r="G154" s="175" t="str">
        <f ca="1">IF(C154=$X$4,IF(ISERROR($V154),"Enter smelter details","RMI"),IF(ISERROR($V154),"",OFFSET('Smelter Look-up'!$F$4,$V154-4,0)))</f>
        <v/>
      </c>
      <c r="H154" s="176" t="str">
        <f ca="1">IF(ISERROR($V154),"",OFFSET('Smelter Look-up'!$G$4,$V154-4,0))</f>
        <v/>
      </c>
      <c r="I154" s="177" t="str">
        <f ca="1">IF(ISERROR($V154),"",OFFSET('Smelter Look-up'!$H$4,$V154-4,0))</f>
        <v/>
      </c>
      <c r="J154" s="177" t="str">
        <f ca="1">IF(ISERROR($V154),"",OFFSET('Smelter Look-up'!$I$4,$V154-4,0))</f>
        <v/>
      </c>
      <c r="K154" s="216"/>
      <c r="L154" s="216"/>
      <c r="M154" s="216"/>
      <c r="N154" s="216"/>
      <c r="O154" s="216"/>
      <c r="P154" s="178"/>
      <c r="Q154" s="217"/>
      <c r="R154" s="175" t="str">
        <f ca="1">IF(ISERROR($V154),"",OFFSET('Smelter Look-up'!$C$4,$V154-4,0)&amp;"")</f>
        <v/>
      </c>
      <c r="S154" s="174" t="str">
        <f t="shared" ca="1" si="21"/>
        <v/>
      </c>
      <c r="T154" s="174" t="str">
        <f ca="1">IF(B154="","",IF(ISERROR(MATCH($J154,SorP!$B$1:$B$6279,0)),"",INDIRECT("'SorP'!$A$"&amp;MATCH($S154&amp;$J154,SorP!C:C,0))))</f>
        <v/>
      </c>
      <c r="U154" s="194"/>
      <c r="V154" s="218" t="e">
        <f>IF(C154="",NA(),IF(OR(C154="Smelter not listed",C154="Smelter not yet identified"),MATCH($B154&amp;$D154,'Smelter Look-up'!$J:$J,0),MATCH($B154&amp;$C154,'Smelter Look-up'!$J:$J,0)))</f>
        <v>#N/A</v>
      </c>
      <c r="X154" s="219">
        <f t="shared" ca="1" si="22"/>
        <v>0</v>
      </c>
      <c r="AB154" s="220" t="str">
        <f t="shared" si="23"/>
        <v/>
      </c>
    </row>
    <row r="155" spans="1:28" s="219" customFormat="1" ht="20.25">
      <c r="A155" s="174"/>
      <c r="B155" s="175" t="str">
        <f>IF(LEN(A155)=0,"",INDEX('Smelter Look-up'!$A:$A,MATCH($A155,'Smelter Look-up'!$E:$E,0)))</f>
        <v/>
      </c>
      <c r="C155" s="179" t="str">
        <f>IF(LEN(A155)=0,"",INDEX('Smelter Look-up'!$C:$C,MATCH($A155,'Smelter Look-up'!$E:$E,0)))</f>
        <v/>
      </c>
      <c r="D155" s="222"/>
      <c r="E155" s="175" t="str">
        <f ca="1">IF(ISERROR($V155),"",OFFSET('Smelter Look-up'!$D$4,$V155-4,0)&amp;"")</f>
        <v/>
      </c>
      <c r="F155" s="175" t="str">
        <f ca="1">IF(ISERROR($V155),"",OFFSET('Smelter Look-up'!$E$4,$V155-4,0))</f>
        <v/>
      </c>
      <c r="G155" s="175" t="str">
        <f ca="1">IF(C155=$X$4,IF(ISERROR($V155),"Enter smelter details","RMI"),IF(ISERROR($V155),"",OFFSET('Smelter Look-up'!$F$4,$V155-4,0)))</f>
        <v/>
      </c>
      <c r="H155" s="176" t="str">
        <f ca="1">IF(ISERROR($V155),"",OFFSET('Smelter Look-up'!$G$4,$V155-4,0))</f>
        <v/>
      </c>
      <c r="I155" s="177" t="str">
        <f ca="1">IF(ISERROR($V155),"",OFFSET('Smelter Look-up'!$H$4,$V155-4,0))</f>
        <v/>
      </c>
      <c r="J155" s="177" t="str">
        <f ca="1">IF(ISERROR($V155),"",OFFSET('Smelter Look-up'!$I$4,$V155-4,0))</f>
        <v/>
      </c>
      <c r="K155" s="216"/>
      <c r="L155" s="216"/>
      <c r="M155" s="216"/>
      <c r="N155" s="216"/>
      <c r="O155" s="216"/>
      <c r="P155" s="178"/>
      <c r="Q155" s="217"/>
      <c r="R155" s="175" t="str">
        <f ca="1">IF(ISERROR($V155),"",OFFSET('Smelter Look-up'!$C$4,$V155-4,0)&amp;"")</f>
        <v/>
      </c>
      <c r="S155" s="174" t="str">
        <f t="shared" ca="1" si="21"/>
        <v/>
      </c>
      <c r="T155" s="174" t="str">
        <f ca="1">IF(B155="","",IF(ISERROR(MATCH($J155,SorP!$B$1:$B$6279,0)),"",INDIRECT("'SorP'!$A$"&amp;MATCH($S155&amp;$J155,SorP!C:C,0))))</f>
        <v/>
      </c>
      <c r="U155" s="194"/>
      <c r="V155" s="218" t="e">
        <f>IF(C155="",NA(),IF(OR(C155="Smelter not listed",C155="Smelter not yet identified"),MATCH($B155&amp;$D155,'Smelter Look-up'!$J:$J,0),MATCH($B155&amp;$C155,'Smelter Look-up'!$J:$J,0)))</f>
        <v>#N/A</v>
      </c>
      <c r="X155" s="219">
        <f t="shared" ca="1" si="22"/>
        <v>0</v>
      </c>
      <c r="AB155" s="220" t="str">
        <f t="shared" si="23"/>
        <v/>
      </c>
    </row>
    <row r="156" spans="1:28" s="219" customFormat="1" ht="20.25">
      <c r="A156" s="174"/>
      <c r="B156" s="175" t="str">
        <f>IF(LEN(A156)=0,"",INDEX('Smelter Look-up'!$A:$A,MATCH($A156,'Smelter Look-up'!$E:$E,0)))</f>
        <v/>
      </c>
      <c r="C156" s="179" t="str">
        <f>IF(LEN(A156)=0,"",INDEX('Smelter Look-up'!$C:$C,MATCH($A156,'Smelter Look-up'!$E:$E,0)))</f>
        <v/>
      </c>
      <c r="D156" s="222"/>
      <c r="E156" s="175" t="str">
        <f ca="1">IF(ISERROR($V156),"",OFFSET('Smelter Look-up'!$D$4,$V156-4,0)&amp;"")</f>
        <v/>
      </c>
      <c r="F156" s="175" t="str">
        <f ca="1">IF(ISERROR($V156),"",OFFSET('Smelter Look-up'!$E$4,$V156-4,0))</f>
        <v/>
      </c>
      <c r="G156" s="175" t="str">
        <f ca="1">IF(C156=$X$4,IF(ISERROR($V156),"Enter smelter details","RMI"),IF(ISERROR($V156),"",OFFSET('Smelter Look-up'!$F$4,$V156-4,0)))</f>
        <v/>
      </c>
      <c r="H156" s="176" t="str">
        <f ca="1">IF(ISERROR($V156),"",OFFSET('Smelter Look-up'!$G$4,$V156-4,0))</f>
        <v/>
      </c>
      <c r="I156" s="177" t="str">
        <f ca="1">IF(ISERROR($V156),"",OFFSET('Smelter Look-up'!$H$4,$V156-4,0))</f>
        <v/>
      </c>
      <c r="J156" s="177" t="str">
        <f ca="1">IF(ISERROR($V156),"",OFFSET('Smelter Look-up'!$I$4,$V156-4,0))</f>
        <v/>
      </c>
      <c r="K156" s="216"/>
      <c r="L156" s="216"/>
      <c r="M156" s="216"/>
      <c r="N156" s="216"/>
      <c r="O156" s="216"/>
      <c r="P156" s="178"/>
      <c r="Q156" s="217"/>
      <c r="R156" s="175" t="str">
        <f ca="1">IF(ISERROR($V156),"",OFFSET('Smelter Look-up'!$C$4,$V156-4,0)&amp;"")</f>
        <v/>
      </c>
      <c r="S156" s="174" t="str">
        <f t="shared" ca="1" si="21"/>
        <v/>
      </c>
      <c r="T156" s="174" t="str">
        <f ca="1">IF(B156="","",IF(ISERROR(MATCH($J156,SorP!$B$1:$B$6279,0)),"",INDIRECT("'SorP'!$A$"&amp;MATCH($S156&amp;$J156,SorP!C:C,0))))</f>
        <v/>
      </c>
      <c r="U156" s="194"/>
      <c r="V156" s="218" t="e">
        <f>IF(C156="",NA(),IF(OR(C156="Smelter not listed",C156="Smelter not yet identified"),MATCH($B156&amp;$D156,'Smelter Look-up'!$J:$J,0),MATCH($B156&amp;$C156,'Smelter Look-up'!$J:$J,0)))</f>
        <v>#N/A</v>
      </c>
      <c r="X156" s="219">
        <f t="shared" ca="1" si="22"/>
        <v>0</v>
      </c>
      <c r="AB156" s="220" t="str">
        <f t="shared" si="23"/>
        <v/>
      </c>
    </row>
    <row r="157" spans="1:28" s="219" customFormat="1" ht="20.25">
      <c r="A157" s="174"/>
      <c r="B157" s="175" t="str">
        <f>IF(LEN(A157)=0,"",INDEX('Smelter Look-up'!$A:$A,MATCH($A157,'Smelter Look-up'!$E:$E,0)))</f>
        <v/>
      </c>
      <c r="C157" s="179" t="str">
        <f>IF(LEN(A157)=0,"",INDEX('Smelter Look-up'!$C:$C,MATCH($A157,'Smelter Look-up'!$E:$E,0)))</f>
        <v/>
      </c>
      <c r="D157" s="222"/>
      <c r="E157" s="175" t="str">
        <f ca="1">IF(ISERROR($V157),"",OFFSET('Smelter Look-up'!$D$4,$V157-4,0)&amp;"")</f>
        <v/>
      </c>
      <c r="F157" s="175" t="str">
        <f ca="1">IF(ISERROR($V157),"",OFFSET('Smelter Look-up'!$E$4,$V157-4,0))</f>
        <v/>
      </c>
      <c r="G157" s="175" t="str">
        <f ca="1">IF(C157=$X$4,IF(ISERROR($V157),"Enter smelter details","RMI"),IF(ISERROR($V157),"",OFFSET('Smelter Look-up'!$F$4,$V157-4,0)))</f>
        <v/>
      </c>
      <c r="H157" s="176" t="str">
        <f ca="1">IF(ISERROR($V157),"",OFFSET('Smelter Look-up'!$G$4,$V157-4,0))</f>
        <v/>
      </c>
      <c r="I157" s="177" t="str">
        <f ca="1">IF(ISERROR($V157),"",OFFSET('Smelter Look-up'!$H$4,$V157-4,0))</f>
        <v/>
      </c>
      <c r="J157" s="177" t="str">
        <f ca="1">IF(ISERROR($V157),"",OFFSET('Smelter Look-up'!$I$4,$V157-4,0))</f>
        <v/>
      </c>
      <c r="K157" s="216"/>
      <c r="L157" s="216"/>
      <c r="M157" s="216"/>
      <c r="N157" s="216"/>
      <c r="O157" s="216"/>
      <c r="P157" s="178"/>
      <c r="Q157" s="217"/>
      <c r="R157" s="175" t="str">
        <f ca="1">IF(ISERROR($V157),"",OFFSET('Smelter Look-up'!$C$4,$V157-4,0)&amp;"")</f>
        <v/>
      </c>
      <c r="S157" s="174" t="str">
        <f t="shared" ca="1" si="21"/>
        <v/>
      </c>
      <c r="T157" s="174" t="str">
        <f ca="1">IF(B157="","",IF(ISERROR(MATCH($J157,SorP!$B$1:$B$6279,0)),"",INDIRECT("'SorP'!$A$"&amp;MATCH($S157&amp;$J157,SorP!C:C,0))))</f>
        <v/>
      </c>
      <c r="U157" s="194"/>
      <c r="V157" s="218" t="e">
        <f>IF(C157="",NA(),IF(OR(C157="Smelter not listed",C157="Smelter not yet identified"),MATCH($B157&amp;$D157,'Smelter Look-up'!$J:$J,0),MATCH($B157&amp;$C157,'Smelter Look-up'!$J:$J,0)))</f>
        <v>#N/A</v>
      </c>
      <c r="X157" s="219">
        <f t="shared" ca="1" si="22"/>
        <v>0</v>
      </c>
      <c r="AB157" s="220" t="str">
        <f t="shared" si="23"/>
        <v/>
      </c>
    </row>
    <row r="158" spans="1:28" s="219" customFormat="1" ht="20.25">
      <c r="A158" s="174"/>
      <c r="B158" s="175" t="str">
        <f>IF(LEN(A158)=0,"",INDEX('Smelter Look-up'!$A:$A,MATCH($A158,'Smelter Look-up'!$E:$E,0)))</f>
        <v/>
      </c>
      <c r="C158" s="179" t="str">
        <f>IF(LEN(A158)=0,"",INDEX('Smelter Look-up'!$C:$C,MATCH($A158,'Smelter Look-up'!$E:$E,0)))</f>
        <v/>
      </c>
      <c r="D158" s="222"/>
      <c r="E158" s="175" t="str">
        <f ca="1">IF(ISERROR($V158),"",OFFSET('Smelter Look-up'!$D$4,$V158-4,0)&amp;"")</f>
        <v/>
      </c>
      <c r="F158" s="175" t="str">
        <f ca="1">IF(ISERROR($V158),"",OFFSET('Smelter Look-up'!$E$4,$V158-4,0))</f>
        <v/>
      </c>
      <c r="G158" s="175" t="str">
        <f ca="1">IF(C158=$X$4,IF(ISERROR($V158),"Enter smelter details","RMI"),IF(ISERROR($V158),"",OFFSET('Smelter Look-up'!$F$4,$V158-4,0)))</f>
        <v/>
      </c>
      <c r="H158" s="176" t="str">
        <f ca="1">IF(ISERROR($V158),"",OFFSET('Smelter Look-up'!$G$4,$V158-4,0))</f>
        <v/>
      </c>
      <c r="I158" s="177" t="str">
        <f ca="1">IF(ISERROR($V158),"",OFFSET('Smelter Look-up'!$H$4,$V158-4,0))</f>
        <v/>
      </c>
      <c r="J158" s="177" t="str">
        <f ca="1">IF(ISERROR($V158),"",OFFSET('Smelter Look-up'!$I$4,$V158-4,0))</f>
        <v/>
      </c>
      <c r="K158" s="216"/>
      <c r="L158" s="216"/>
      <c r="M158" s="216"/>
      <c r="N158" s="216"/>
      <c r="O158" s="216"/>
      <c r="P158" s="178"/>
      <c r="Q158" s="217"/>
      <c r="R158" s="175" t="str">
        <f ca="1">IF(ISERROR($V158),"",OFFSET('Smelter Look-up'!$C$4,$V158-4,0)&amp;"")</f>
        <v/>
      </c>
      <c r="S158" s="174" t="str">
        <f t="shared" ca="1" si="21"/>
        <v/>
      </c>
      <c r="T158" s="174" t="str">
        <f ca="1">IF(B158="","",IF(ISERROR(MATCH($J158,SorP!$B$1:$B$6279,0)),"",INDIRECT("'SorP'!$A$"&amp;MATCH($S158&amp;$J158,SorP!C:C,0))))</f>
        <v/>
      </c>
      <c r="U158" s="194"/>
      <c r="V158" s="218" t="e">
        <f>IF(C158="",NA(),IF(OR(C158="Smelter not listed",C158="Smelter not yet identified"),MATCH($B158&amp;$D158,'Smelter Look-up'!$J:$J,0),MATCH($B158&amp;$C158,'Smelter Look-up'!$J:$J,0)))</f>
        <v>#N/A</v>
      </c>
      <c r="X158" s="219">
        <f t="shared" ca="1" si="22"/>
        <v>0</v>
      </c>
      <c r="AB158" s="220" t="str">
        <f t="shared" si="23"/>
        <v/>
      </c>
    </row>
    <row r="159" spans="1:28" s="219" customFormat="1" ht="20.25">
      <c r="A159" s="174"/>
      <c r="B159" s="175" t="str">
        <f>IF(LEN(A159)=0,"",INDEX('Smelter Look-up'!$A:$A,MATCH($A159,'Smelter Look-up'!$E:$E,0)))</f>
        <v/>
      </c>
      <c r="C159" s="179" t="str">
        <f>IF(LEN(A159)=0,"",INDEX('Smelter Look-up'!$C:$C,MATCH($A159,'Smelter Look-up'!$E:$E,0)))</f>
        <v/>
      </c>
      <c r="D159" s="222"/>
      <c r="E159" s="175" t="str">
        <f ca="1">IF(ISERROR($V159),"",OFFSET('Smelter Look-up'!$D$4,$V159-4,0)&amp;"")</f>
        <v/>
      </c>
      <c r="F159" s="175" t="str">
        <f ca="1">IF(ISERROR($V159),"",OFFSET('Smelter Look-up'!$E$4,$V159-4,0))</f>
        <v/>
      </c>
      <c r="G159" s="175" t="str">
        <f ca="1">IF(C159=$X$4,IF(ISERROR($V159),"Enter smelter details","RMI"),IF(ISERROR($V159),"",OFFSET('Smelter Look-up'!$F$4,$V159-4,0)))</f>
        <v/>
      </c>
      <c r="H159" s="176" t="str">
        <f ca="1">IF(ISERROR($V159),"",OFFSET('Smelter Look-up'!$G$4,$V159-4,0))</f>
        <v/>
      </c>
      <c r="I159" s="177" t="str">
        <f ca="1">IF(ISERROR($V159),"",OFFSET('Smelter Look-up'!$H$4,$V159-4,0))</f>
        <v/>
      </c>
      <c r="J159" s="177" t="str">
        <f ca="1">IF(ISERROR($V159),"",OFFSET('Smelter Look-up'!$I$4,$V159-4,0))</f>
        <v/>
      </c>
      <c r="K159" s="216"/>
      <c r="L159" s="216"/>
      <c r="M159" s="216"/>
      <c r="N159" s="216"/>
      <c r="O159" s="216"/>
      <c r="P159" s="178"/>
      <c r="Q159" s="217"/>
      <c r="R159" s="175" t="str">
        <f ca="1">IF(ISERROR($V159),"",OFFSET('Smelter Look-up'!$C$4,$V159-4,0)&amp;"")</f>
        <v/>
      </c>
      <c r="S159" s="174" t="str">
        <f t="shared" ca="1" si="21"/>
        <v/>
      </c>
      <c r="T159" s="174" t="str">
        <f ca="1">IF(B159="","",IF(ISERROR(MATCH($J159,SorP!$B$1:$B$6279,0)),"",INDIRECT("'SorP'!$A$"&amp;MATCH($S159&amp;$J159,SorP!C:C,0))))</f>
        <v/>
      </c>
      <c r="U159" s="194"/>
      <c r="V159" s="218" t="e">
        <f>IF(C159="",NA(),IF(OR(C159="Smelter not listed",C159="Smelter not yet identified"),MATCH($B159&amp;$D159,'Smelter Look-up'!$J:$J,0),MATCH($B159&amp;$C159,'Smelter Look-up'!$J:$J,0)))</f>
        <v>#N/A</v>
      </c>
      <c r="X159" s="219">
        <f t="shared" ca="1" si="22"/>
        <v>0</v>
      </c>
      <c r="AB159" s="220" t="str">
        <f t="shared" si="23"/>
        <v/>
      </c>
    </row>
    <row r="160" spans="1:28" s="219" customFormat="1" ht="20.25">
      <c r="A160" s="174"/>
      <c r="B160" s="175" t="str">
        <f>IF(LEN(A160)=0,"",INDEX('Smelter Look-up'!$A:$A,MATCH($A160,'Smelter Look-up'!$E:$E,0)))</f>
        <v/>
      </c>
      <c r="C160" s="179" t="str">
        <f>IF(LEN(A160)=0,"",INDEX('Smelter Look-up'!$C:$C,MATCH($A160,'Smelter Look-up'!$E:$E,0)))</f>
        <v/>
      </c>
      <c r="D160" s="222"/>
      <c r="E160" s="175" t="str">
        <f ca="1">IF(ISERROR($V160),"",OFFSET('Smelter Look-up'!$D$4,$V160-4,0)&amp;"")</f>
        <v/>
      </c>
      <c r="F160" s="175" t="str">
        <f ca="1">IF(ISERROR($V160),"",OFFSET('Smelter Look-up'!$E$4,$V160-4,0))</f>
        <v/>
      </c>
      <c r="G160" s="175" t="str">
        <f ca="1">IF(C160=$X$4,IF(ISERROR($V160),"Enter smelter details","RMI"),IF(ISERROR($V160),"",OFFSET('Smelter Look-up'!$F$4,$V160-4,0)))</f>
        <v/>
      </c>
      <c r="H160" s="176" t="str">
        <f ca="1">IF(ISERROR($V160),"",OFFSET('Smelter Look-up'!$G$4,$V160-4,0))</f>
        <v/>
      </c>
      <c r="I160" s="177" t="str">
        <f ca="1">IF(ISERROR($V160),"",OFFSET('Smelter Look-up'!$H$4,$V160-4,0))</f>
        <v/>
      </c>
      <c r="J160" s="177" t="str">
        <f ca="1">IF(ISERROR($V160),"",OFFSET('Smelter Look-up'!$I$4,$V160-4,0))</f>
        <v/>
      </c>
      <c r="K160" s="216"/>
      <c r="L160" s="216"/>
      <c r="M160" s="216"/>
      <c r="N160" s="216"/>
      <c r="O160" s="216"/>
      <c r="P160" s="178"/>
      <c r="Q160" s="217"/>
      <c r="R160" s="175" t="str">
        <f ca="1">IF(ISERROR($V160),"",OFFSET('Smelter Look-up'!$C$4,$V160-4,0)&amp;"")</f>
        <v/>
      </c>
      <c r="S160" s="174" t="str">
        <f t="shared" ca="1" si="21"/>
        <v/>
      </c>
      <c r="T160" s="174" t="str">
        <f ca="1">IF(B160="","",IF(ISERROR(MATCH($J160,SorP!$B$1:$B$6279,0)),"",INDIRECT("'SorP'!$A$"&amp;MATCH($S160&amp;$J160,SorP!C:C,0))))</f>
        <v/>
      </c>
      <c r="U160" s="194"/>
      <c r="V160" s="218" t="e">
        <f>IF(C160="",NA(),IF(OR(C160="Smelter not listed",C160="Smelter not yet identified"),MATCH($B160&amp;$D160,'Smelter Look-up'!$J:$J,0),MATCH($B160&amp;$C160,'Smelter Look-up'!$J:$J,0)))</f>
        <v>#N/A</v>
      </c>
      <c r="X160" s="219">
        <f t="shared" ca="1" si="22"/>
        <v>0</v>
      </c>
      <c r="AB160" s="220" t="str">
        <f t="shared" si="23"/>
        <v/>
      </c>
    </row>
    <row r="161" spans="1:28" s="219" customFormat="1" ht="20.25">
      <c r="A161" s="174"/>
      <c r="B161" s="175" t="str">
        <f>IF(LEN(A161)=0,"",INDEX('Smelter Look-up'!$A:$A,MATCH($A161,'Smelter Look-up'!$E:$E,0)))</f>
        <v/>
      </c>
      <c r="C161" s="179" t="str">
        <f>IF(LEN(A161)=0,"",INDEX('Smelter Look-up'!$C:$C,MATCH($A161,'Smelter Look-up'!$E:$E,0)))</f>
        <v/>
      </c>
      <c r="D161" s="222"/>
      <c r="E161" s="175" t="str">
        <f ca="1">IF(ISERROR($V161),"",OFFSET('Smelter Look-up'!$D$4,$V161-4,0)&amp;"")</f>
        <v/>
      </c>
      <c r="F161" s="175" t="str">
        <f ca="1">IF(ISERROR($V161),"",OFFSET('Smelter Look-up'!$E$4,$V161-4,0))</f>
        <v/>
      </c>
      <c r="G161" s="175" t="str">
        <f ca="1">IF(C161=$X$4,IF(ISERROR($V161),"Enter smelter details","RMI"),IF(ISERROR($V161),"",OFFSET('Smelter Look-up'!$F$4,$V161-4,0)))</f>
        <v/>
      </c>
      <c r="H161" s="176" t="str">
        <f ca="1">IF(ISERROR($V161),"",OFFSET('Smelter Look-up'!$G$4,$V161-4,0))</f>
        <v/>
      </c>
      <c r="I161" s="177" t="str">
        <f ca="1">IF(ISERROR($V161),"",OFFSET('Smelter Look-up'!$H$4,$V161-4,0))</f>
        <v/>
      </c>
      <c r="J161" s="177" t="str">
        <f ca="1">IF(ISERROR($V161),"",OFFSET('Smelter Look-up'!$I$4,$V161-4,0))</f>
        <v/>
      </c>
      <c r="K161" s="216"/>
      <c r="L161" s="216"/>
      <c r="M161" s="216"/>
      <c r="N161" s="216"/>
      <c r="O161" s="216"/>
      <c r="P161" s="178"/>
      <c r="Q161" s="217"/>
      <c r="R161" s="175" t="str">
        <f ca="1">IF(ISERROR($V161),"",OFFSET('Smelter Look-up'!$C$4,$V161-4,0)&amp;"")</f>
        <v/>
      </c>
      <c r="S161" s="174" t="str">
        <f t="shared" ca="1" si="21"/>
        <v/>
      </c>
      <c r="T161" s="174" t="str">
        <f ca="1">IF(B161="","",IF(ISERROR(MATCH($J161,SorP!$B$1:$B$6279,0)),"",INDIRECT("'SorP'!$A$"&amp;MATCH($S161&amp;$J161,SorP!C:C,0))))</f>
        <v/>
      </c>
      <c r="U161" s="194"/>
      <c r="V161" s="218" t="e">
        <f>IF(C161="",NA(),IF(OR(C161="Smelter not listed",C161="Smelter not yet identified"),MATCH($B161&amp;$D161,'Smelter Look-up'!$J:$J,0),MATCH($B161&amp;$C161,'Smelter Look-up'!$J:$J,0)))</f>
        <v>#N/A</v>
      </c>
      <c r="X161" s="219">
        <f t="shared" ca="1" si="22"/>
        <v>0</v>
      </c>
      <c r="AB161" s="220" t="str">
        <f t="shared" si="23"/>
        <v/>
      </c>
    </row>
    <row r="162" spans="1:28" s="219" customFormat="1" ht="20.25">
      <c r="A162" s="174"/>
      <c r="B162" s="175" t="str">
        <f>IF(LEN(A162)=0,"",INDEX('Smelter Look-up'!$A:$A,MATCH($A162,'Smelter Look-up'!$E:$E,0)))</f>
        <v/>
      </c>
      <c r="C162" s="179" t="str">
        <f>IF(LEN(A162)=0,"",INDEX('Smelter Look-up'!$C:$C,MATCH($A162,'Smelter Look-up'!$E:$E,0)))</f>
        <v/>
      </c>
      <c r="D162" s="222"/>
      <c r="E162" s="175" t="str">
        <f ca="1">IF(ISERROR($V162),"",OFFSET('Smelter Look-up'!$D$4,$V162-4,0)&amp;"")</f>
        <v/>
      </c>
      <c r="F162" s="175" t="str">
        <f ca="1">IF(ISERROR($V162),"",OFFSET('Smelter Look-up'!$E$4,$V162-4,0))</f>
        <v/>
      </c>
      <c r="G162" s="175" t="str">
        <f ca="1">IF(C162=$X$4,IF(ISERROR($V162),"Enter smelter details","RMI"),IF(ISERROR($V162),"",OFFSET('Smelter Look-up'!$F$4,$V162-4,0)))</f>
        <v/>
      </c>
      <c r="H162" s="176" t="str">
        <f ca="1">IF(ISERROR($V162),"",OFFSET('Smelter Look-up'!$G$4,$V162-4,0))</f>
        <v/>
      </c>
      <c r="I162" s="177" t="str">
        <f ca="1">IF(ISERROR($V162),"",OFFSET('Smelter Look-up'!$H$4,$V162-4,0))</f>
        <v/>
      </c>
      <c r="J162" s="177" t="str">
        <f ca="1">IF(ISERROR($V162),"",OFFSET('Smelter Look-up'!$I$4,$V162-4,0))</f>
        <v/>
      </c>
      <c r="K162" s="216"/>
      <c r="L162" s="216"/>
      <c r="M162" s="216"/>
      <c r="N162" s="216"/>
      <c r="O162" s="216"/>
      <c r="P162" s="178"/>
      <c r="Q162" s="217"/>
      <c r="R162" s="175" t="str">
        <f ca="1">IF(ISERROR($V162),"",OFFSET('Smelter Look-up'!$C$4,$V162-4,0)&amp;"")</f>
        <v/>
      </c>
      <c r="S162" s="174" t="str">
        <f t="shared" ca="1" si="21"/>
        <v/>
      </c>
      <c r="T162" s="174" t="str">
        <f ca="1">IF(B162="","",IF(ISERROR(MATCH($J162,SorP!$B$1:$B$6279,0)),"",INDIRECT("'SorP'!$A$"&amp;MATCH($S162&amp;$J162,SorP!C:C,0))))</f>
        <v/>
      </c>
      <c r="U162" s="194"/>
      <c r="V162" s="218" t="e">
        <f>IF(C162="",NA(),IF(OR(C162="Smelter not listed",C162="Smelter not yet identified"),MATCH($B162&amp;$D162,'Smelter Look-up'!$J:$J,0),MATCH($B162&amp;$C162,'Smelter Look-up'!$J:$J,0)))</f>
        <v>#N/A</v>
      </c>
      <c r="X162" s="219">
        <f t="shared" ca="1" si="22"/>
        <v>0</v>
      </c>
      <c r="AB162" s="220" t="str">
        <f t="shared" si="23"/>
        <v/>
      </c>
    </row>
    <row r="163" spans="1:28" s="219" customFormat="1" ht="20.25">
      <c r="A163" s="174"/>
      <c r="B163" s="175" t="str">
        <f>IF(LEN(A163)=0,"",INDEX('Smelter Look-up'!$A:$A,MATCH($A163,'Smelter Look-up'!$E:$E,0)))</f>
        <v/>
      </c>
      <c r="C163" s="179" t="str">
        <f>IF(LEN(A163)=0,"",INDEX('Smelter Look-up'!$C:$C,MATCH($A163,'Smelter Look-up'!$E:$E,0)))</f>
        <v/>
      </c>
      <c r="D163" s="222"/>
      <c r="E163" s="175" t="str">
        <f ca="1">IF(ISERROR($V163),"",OFFSET('Smelter Look-up'!$D$4,$V163-4,0)&amp;"")</f>
        <v/>
      </c>
      <c r="F163" s="175" t="str">
        <f ca="1">IF(ISERROR($V163),"",OFFSET('Smelter Look-up'!$E$4,$V163-4,0))</f>
        <v/>
      </c>
      <c r="G163" s="175" t="str">
        <f ca="1">IF(C163=$X$4,IF(ISERROR($V163),"Enter smelter details","RMI"),IF(ISERROR($V163),"",OFFSET('Smelter Look-up'!$F$4,$V163-4,0)))</f>
        <v/>
      </c>
      <c r="H163" s="176" t="str">
        <f ca="1">IF(ISERROR($V163),"",OFFSET('Smelter Look-up'!$G$4,$V163-4,0))</f>
        <v/>
      </c>
      <c r="I163" s="177" t="str">
        <f ca="1">IF(ISERROR($V163),"",OFFSET('Smelter Look-up'!$H$4,$V163-4,0))</f>
        <v/>
      </c>
      <c r="J163" s="177" t="str">
        <f ca="1">IF(ISERROR($V163),"",OFFSET('Smelter Look-up'!$I$4,$V163-4,0))</f>
        <v/>
      </c>
      <c r="K163" s="216"/>
      <c r="L163" s="216"/>
      <c r="M163" s="216"/>
      <c r="N163" s="216"/>
      <c r="O163" s="216"/>
      <c r="P163" s="178"/>
      <c r="Q163" s="217"/>
      <c r="R163" s="175" t="str">
        <f ca="1">IF(ISERROR($V163),"",OFFSET('Smelter Look-up'!$C$4,$V163-4,0)&amp;"")</f>
        <v/>
      </c>
      <c r="S163" s="174" t="str">
        <f t="shared" ca="1" si="21"/>
        <v/>
      </c>
      <c r="T163" s="174" t="str">
        <f ca="1">IF(B163="","",IF(ISERROR(MATCH($J163,SorP!$B$1:$B$6279,0)),"",INDIRECT("'SorP'!$A$"&amp;MATCH($S163&amp;$J163,SorP!C:C,0))))</f>
        <v/>
      </c>
      <c r="U163" s="194"/>
      <c r="V163" s="218" t="e">
        <f>IF(C163="",NA(),IF(OR(C163="Smelter not listed",C163="Smelter not yet identified"),MATCH($B163&amp;$D163,'Smelter Look-up'!$J:$J,0),MATCH($B163&amp;$C163,'Smelter Look-up'!$J:$J,0)))</f>
        <v>#N/A</v>
      </c>
      <c r="X163" s="219">
        <f t="shared" ca="1" si="22"/>
        <v>0</v>
      </c>
      <c r="AB163" s="220" t="str">
        <f t="shared" si="23"/>
        <v/>
      </c>
    </row>
    <row r="164" spans="1:28" s="219" customFormat="1" ht="20.25">
      <c r="A164" s="174"/>
      <c r="B164" s="175" t="str">
        <f>IF(LEN(A164)=0,"",INDEX('Smelter Look-up'!$A:$A,MATCH($A164,'Smelter Look-up'!$E:$E,0)))</f>
        <v/>
      </c>
      <c r="C164" s="179" t="str">
        <f>IF(LEN(A164)=0,"",INDEX('Smelter Look-up'!$C:$C,MATCH($A164,'Smelter Look-up'!$E:$E,0)))</f>
        <v/>
      </c>
      <c r="D164" s="222"/>
      <c r="E164" s="175" t="str">
        <f ca="1">IF(ISERROR($V164),"",OFFSET('Smelter Look-up'!$D$4,$V164-4,0)&amp;"")</f>
        <v/>
      </c>
      <c r="F164" s="175" t="str">
        <f ca="1">IF(ISERROR($V164),"",OFFSET('Smelter Look-up'!$E$4,$V164-4,0))</f>
        <v/>
      </c>
      <c r="G164" s="175" t="str">
        <f ca="1">IF(C164=$X$4,IF(ISERROR($V164),"Enter smelter details","RMI"),IF(ISERROR($V164),"",OFFSET('Smelter Look-up'!$F$4,$V164-4,0)))</f>
        <v/>
      </c>
      <c r="H164" s="176" t="str">
        <f ca="1">IF(ISERROR($V164),"",OFFSET('Smelter Look-up'!$G$4,$V164-4,0))</f>
        <v/>
      </c>
      <c r="I164" s="177" t="str">
        <f ca="1">IF(ISERROR($V164),"",OFFSET('Smelter Look-up'!$H$4,$V164-4,0))</f>
        <v/>
      </c>
      <c r="J164" s="177" t="str">
        <f ca="1">IF(ISERROR($V164),"",OFFSET('Smelter Look-up'!$I$4,$V164-4,0))</f>
        <v/>
      </c>
      <c r="K164" s="216"/>
      <c r="L164" s="216"/>
      <c r="M164" s="216"/>
      <c r="N164" s="216"/>
      <c r="O164" s="216"/>
      <c r="P164" s="178"/>
      <c r="Q164" s="217"/>
      <c r="R164" s="175" t="str">
        <f ca="1">IF(ISERROR($V164),"",OFFSET('Smelter Look-up'!$C$4,$V164-4,0)&amp;"")</f>
        <v/>
      </c>
      <c r="S164" s="174" t="str">
        <f t="shared" ca="1" si="21"/>
        <v/>
      </c>
      <c r="T164" s="174" t="str">
        <f ca="1">IF(B164="","",IF(ISERROR(MATCH($J164,SorP!$B$1:$B$6279,0)),"",INDIRECT("'SorP'!$A$"&amp;MATCH($S164&amp;$J164,SorP!C:C,0))))</f>
        <v/>
      </c>
      <c r="U164" s="194"/>
      <c r="V164" s="218" t="e">
        <f>IF(C164="",NA(),IF(OR(C164="Smelter not listed",C164="Smelter not yet identified"),MATCH($B164&amp;$D164,'Smelter Look-up'!$J:$J,0),MATCH($B164&amp;$C164,'Smelter Look-up'!$J:$J,0)))</f>
        <v>#N/A</v>
      </c>
      <c r="X164" s="219">
        <f t="shared" ca="1" si="22"/>
        <v>0</v>
      </c>
      <c r="AB164" s="220" t="str">
        <f t="shared" si="23"/>
        <v/>
      </c>
    </row>
    <row r="165" spans="1:28" s="219" customFormat="1" ht="20.25">
      <c r="A165" s="174"/>
      <c r="B165" s="175" t="str">
        <f>IF(LEN(A165)=0,"",INDEX('Smelter Look-up'!$A:$A,MATCH($A165,'Smelter Look-up'!$E:$E,0)))</f>
        <v/>
      </c>
      <c r="C165" s="179" t="str">
        <f>IF(LEN(A165)=0,"",INDEX('Smelter Look-up'!$C:$C,MATCH($A165,'Smelter Look-up'!$E:$E,0)))</f>
        <v/>
      </c>
      <c r="D165" s="222"/>
      <c r="E165" s="175" t="str">
        <f ca="1">IF(ISERROR($V165),"",OFFSET('Smelter Look-up'!$D$4,$V165-4,0)&amp;"")</f>
        <v/>
      </c>
      <c r="F165" s="175" t="str">
        <f ca="1">IF(ISERROR($V165),"",OFFSET('Smelter Look-up'!$E$4,$V165-4,0))</f>
        <v/>
      </c>
      <c r="G165" s="175" t="str">
        <f ca="1">IF(C165=$X$4,IF(ISERROR($V165),"Enter smelter details","RMI"),IF(ISERROR($V165),"",OFFSET('Smelter Look-up'!$F$4,$V165-4,0)))</f>
        <v/>
      </c>
      <c r="H165" s="176" t="str">
        <f ca="1">IF(ISERROR($V165),"",OFFSET('Smelter Look-up'!$G$4,$V165-4,0))</f>
        <v/>
      </c>
      <c r="I165" s="177" t="str">
        <f ca="1">IF(ISERROR($V165),"",OFFSET('Smelter Look-up'!$H$4,$V165-4,0))</f>
        <v/>
      </c>
      <c r="J165" s="177" t="str">
        <f ca="1">IF(ISERROR($V165),"",OFFSET('Smelter Look-up'!$I$4,$V165-4,0))</f>
        <v/>
      </c>
      <c r="K165" s="216"/>
      <c r="L165" s="216"/>
      <c r="M165" s="216"/>
      <c r="N165" s="216"/>
      <c r="O165" s="216"/>
      <c r="P165" s="178"/>
      <c r="Q165" s="217"/>
      <c r="R165" s="175" t="str">
        <f ca="1">IF(ISERROR($V165),"",OFFSET('Smelter Look-up'!$C$4,$V165-4,0)&amp;"")</f>
        <v/>
      </c>
      <c r="S165" s="174" t="str">
        <f t="shared" ca="1" si="21"/>
        <v/>
      </c>
      <c r="T165" s="174" t="str">
        <f ca="1">IF(B165="","",IF(ISERROR(MATCH($J165,SorP!$B$1:$B$6279,0)),"",INDIRECT("'SorP'!$A$"&amp;MATCH($S165&amp;$J165,SorP!C:C,0))))</f>
        <v/>
      </c>
      <c r="U165" s="194"/>
      <c r="V165" s="218" t="e">
        <f>IF(C165="",NA(),IF(OR(C165="Smelter not listed",C165="Smelter not yet identified"),MATCH($B165&amp;$D165,'Smelter Look-up'!$J:$J,0),MATCH($B165&amp;$C165,'Smelter Look-up'!$J:$J,0)))</f>
        <v>#N/A</v>
      </c>
      <c r="X165" s="219">
        <f t="shared" ca="1" si="22"/>
        <v>0</v>
      </c>
      <c r="AB165" s="220" t="str">
        <f t="shared" si="23"/>
        <v/>
      </c>
    </row>
    <row r="166" spans="1:28" s="219" customFormat="1" ht="20.25">
      <c r="A166" s="174"/>
      <c r="B166" s="175" t="str">
        <f>IF(LEN(A166)=0,"",INDEX('Smelter Look-up'!$A:$A,MATCH($A166,'Smelter Look-up'!$E:$E,0)))</f>
        <v/>
      </c>
      <c r="C166" s="179" t="str">
        <f>IF(LEN(A166)=0,"",INDEX('Smelter Look-up'!$C:$C,MATCH($A166,'Smelter Look-up'!$E:$E,0)))</f>
        <v/>
      </c>
      <c r="D166" s="222"/>
      <c r="E166" s="175" t="str">
        <f ca="1">IF(ISERROR($V166),"",OFFSET('Smelter Look-up'!$D$4,$V166-4,0)&amp;"")</f>
        <v/>
      </c>
      <c r="F166" s="175" t="str">
        <f ca="1">IF(ISERROR($V166),"",OFFSET('Smelter Look-up'!$E$4,$V166-4,0))</f>
        <v/>
      </c>
      <c r="G166" s="175" t="str">
        <f ca="1">IF(C166=$X$4,IF(ISERROR($V166),"Enter smelter details","RMI"),IF(ISERROR($V166),"",OFFSET('Smelter Look-up'!$F$4,$V166-4,0)))</f>
        <v/>
      </c>
      <c r="H166" s="176" t="str">
        <f ca="1">IF(ISERROR($V166),"",OFFSET('Smelter Look-up'!$G$4,$V166-4,0))</f>
        <v/>
      </c>
      <c r="I166" s="177" t="str">
        <f ca="1">IF(ISERROR($V166),"",OFFSET('Smelter Look-up'!$H$4,$V166-4,0))</f>
        <v/>
      </c>
      <c r="J166" s="177" t="str">
        <f ca="1">IF(ISERROR($V166),"",OFFSET('Smelter Look-up'!$I$4,$V166-4,0))</f>
        <v/>
      </c>
      <c r="K166" s="216"/>
      <c r="L166" s="216"/>
      <c r="M166" s="216"/>
      <c r="N166" s="216"/>
      <c r="O166" s="216"/>
      <c r="P166" s="178"/>
      <c r="Q166" s="217"/>
      <c r="R166" s="175" t="str">
        <f ca="1">IF(ISERROR($V166),"",OFFSET('Smelter Look-up'!$C$4,$V166-4,0)&amp;"")</f>
        <v/>
      </c>
      <c r="S166" s="174" t="str">
        <f t="shared" ref="S166:S196" ca="1" si="24">IF(B166="","",IF(ISERROR(MATCH($E166,CL,0)),"Unknown",INDIRECT("'C'!$A$"&amp;MATCH($E166,CL,0)+1)))</f>
        <v/>
      </c>
      <c r="T166" s="174" t="str">
        <f ca="1">IF(B166="","",IF(ISERROR(MATCH($J166,SorP!$B$1:$B$6279,0)),"",INDIRECT("'SorP'!$A$"&amp;MATCH($S166&amp;$J166,SorP!C:C,0))))</f>
        <v/>
      </c>
      <c r="U166" s="194"/>
      <c r="V166" s="218" t="e">
        <f>IF(C166="",NA(),IF(OR(C166="Smelter not listed",C166="Smelter not yet identified"),MATCH($B166&amp;$D166,'Smelter Look-up'!$J:$J,0),MATCH($B166&amp;$C166,'Smelter Look-up'!$J:$J,0)))</f>
        <v>#N/A</v>
      </c>
      <c r="X166" s="219">
        <f t="shared" ref="X166:X196" ca="1" si="25">IF(AND(C166="Smelter not listed",OR(LEN(D166)=0,LEN(E166)=0)),1,0)</f>
        <v>0</v>
      </c>
      <c r="AB166" s="220" t="str">
        <f t="shared" ref="AB166:AB196" si="26">B166&amp;C166</f>
        <v/>
      </c>
    </row>
    <row r="167" spans="1:28" s="219" customFormat="1" ht="20.25">
      <c r="A167" s="174"/>
      <c r="B167" s="175" t="str">
        <f>IF(LEN(A167)=0,"",INDEX('Smelter Look-up'!$A:$A,MATCH($A167,'Smelter Look-up'!$E:$E,0)))</f>
        <v/>
      </c>
      <c r="C167" s="179" t="str">
        <f>IF(LEN(A167)=0,"",INDEX('Smelter Look-up'!$C:$C,MATCH($A167,'Smelter Look-up'!$E:$E,0)))</f>
        <v/>
      </c>
      <c r="D167" s="222"/>
      <c r="E167" s="175" t="str">
        <f ca="1">IF(ISERROR($V167),"",OFFSET('Smelter Look-up'!$D$4,$V167-4,0)&amp;"")</f>
        <v/>
      </c>
      <c r="F167" s="175" t="str">
        <f ca="1">IF(ISERROR($V167),"",OFFSET('Smelter Look-up'!$E$4,$V167-4,0))</f>
        <v/>
      </c>
      <c r="G167" s="175" t="str">
        <f ca="1">IF(C167=$X$4,IF(ISERROR($V167),"Enter smelter details","RMI"),IF(ISERROR($V167),"",OFFSET('Smelter Look-up'!$F$4,$V167-4,0)))</f>
        <v/>
      </c>
      <c r="H167" s="176" t="str">
        <f ca="1">IF(ISERROR($V167),"",OFFSET('Smelter Look-up'!$G$4,$V167-4,0))</f>
        <v/>
      </c>
      <c r="I167" s="177" t="str">
        <f ca="1">IF(ISERROR($V167),"",OFFSET('Smelter Look-up'!$H$4,$V167-4,0))</f>
        <v/>
      </c>
      <c r="J167" s="177" t="str">
        <f ca="1">IF(ISERROR($V167),"",OFFSET('Smelter Look-up'!$I$4,$V167-4,0))</f>
        <v/>
      </c>
      <c r="K167" s="216"/>
      <c r="L167" s="216"/>
      <c r="M167" s="216"/>
      <c r="N167" s="216"/>
      <c r="O167" s="216"/>
      <c r="P167" s="178"/>
      <c r="Q167" s="217"/>
      <c r="R167" s="175" t="str">
        <f ca="1">IF(ISERROR($V167),"",OFFSET('Smelter Look-up'!$C$4,$V167-4,0)&amp;"")</f>
        <v/>
      </c>
      <c r="S167" s="174" t="str">
        <f t="shared" ca="1" si="24"/>
        <v/>
      </c>
      <c r="T167" s="174" t="str">
        <f ca="1">IF(B167="","",IF(ISERROR(MATCH($J167,SorP!$B$1:$B$6279,0)),"",INDIRECT("'SorP'!$A$"&amp;MATCH($S167&amp;$J167,SorP!C:C,0))))</f>
        <v/>
      </c>
      <c r="U167" s="194"/>
      <c r="V167" s="218" t="e">
        <f>IF(C167="",NA(),IF(OR(C167="Smelter not listed",C167="Smelter not yet identified"),MATCH($B167&amp;$D167,'Smelter Look-up'!$J:$J,0),MATCH($B167&amp;$C167,'Smelter Look-up'!$J:$J,0)))</f>
        <v>#N/A</v>
      </c>
      <c r="X167" s="219">
        <f t="shared" ca="1" si="25"/>
        <v>0</v>
      </c>
      <c r="AB167" s="220" t="str">
        <f t="shared" si="26"/>
        <v/>
      </c>
    </row>
    <row r="168" spans="1:28" s="219" customFormat="1" ht="20.25">
      <c r="A168" s="174"/>
      <c r="B168" s="175" t="str">
        <f>IF(LEN(A168)=0,"",INDEX('Smelter Look-up'!$A:$A,MATCH($A168,'Smelter Look-up'!$E:$E,0)))</f>
        <v/>
      </c>
      <c r="C168" s="179" t="str">
        <f>IF(LEN(A168)=0,"",INDEX('Smelter Look-up'!$C:$C,MATCH($A168,'Smelter Look-up'!$E:$E,0)))</f>
        <v/>
      </c>
      <c r="D168" s="222"/>
      <c r="E168" s="175" t="str">
        <f ca="1">IF(ISERROR($V168),"",OFFSET('Smelter Look-up'!$D$4,$V168-4,0)&amp;"")</f>
        <v/>
      </c>
      <c r="F168" s="175" t="str">
        <f ca="1">IF(ISERROR($V168),"",OFFSET('Smelter Look-up'!$E$4,$V168-4,0))</f>
        <v/>
      </c>
      <c r="G168" s="175" t="str">
        <f ca="1">IF(C168=$X$4,IF(ISERROR($V168),"Enter smelter details","RMI"),IF(ISERROR($V168),"",OFFSET('Smelter Look-up'!$F$4,$V168-4,0)))</f>
        <v/>
      </c>
      <c r="H168" s="176" t="str">
        <f ca="1">IF(ISERROR($V168),"",OFFSET('Smelter Look-up'!$G$4,$V168-4,0))</f>
        <v/>
      </c>
      <c r="I168" s="177" t="str">
        <f ca="1">IF(ISERROR($V168),"",OFFSET('Smelter Look-up'!$H$4,$V168-4,0))</f>
        <v/>
      </c>
      <c r="J168" s="177" t="str">
        <f ca="1">IF(ISERROR($V168),"",OFFSET('Smelter Look-up'!$I$4,$V168-4,0))</f>
        <v/>
      </c>
      <c r="K168" s="216"/>
      <c r="L168" s="216"/>
      <c r="M168" s="216"/>
      <c r="N168" s="216"/>
      <c r="O168" s="216"/>
      <c r="P168" s="178"/>
      <c r="Q168" s="217"/>
      <c r="R168" s="175" t="str">
        <f ca="1">IF(ISERROR($V168),"",OFFSET('Smelter Look-up'!$C$4,$V168-4,0)&amp;"")</f>
        <v/>
      </c>
      <c r="S168" s="174" t="str">
        <f t="shared" ca="1" si="24"/>
        <v/>
      </c>
      <c r="T168" s="174" t="str">
        <f ca="1">IF(B168="","",IF(ISERROR(MATCH($J168,SorP!$B$1:$B$6279,0)),"",INDIRECT("'SorP'!$A$"&amp;MATCH($S168&amp;$J168,SorP!C:C,0))))</f>
        <v/>
      </c>
      <c r="U168" s="194"/>
      <c r="V168" s="218" t="e">
        <f>IF(C168="",NA(),IF(OR(C168="Smelter not listed",C168="Smelter not yet identified"),MATCH($B168&amp;$D168,'Smelter Look-up'!$J:$J,0),MATCH($B168&amp;$C168,'Smelter Look-up'!$J:$J,0)))</f>
        <v>#N/A</v>
      </c>
      <c r="X168" s="219">
        <f t="shared" ca="1" si="25"/>
        <v>0</v>
      </c>
      <c r="AB168" s="220" t="str">
        <f t="shared" si="26"/>
        <v/>
      </c>
    </row>
    <row r="169" spans="1:28" s="219" customFormat="1" ht="20.25">
      <c r="A169" s="174"/>
      <c r="B169" s="175" t="str">
        <f>IF(LEN(A169)=0,"",INDEX('Smelter Look-up'!$A:$A,MATCH($A169,'Smelter Look-up'!$E:$E,0)))</f>
        <v/>
      </c>
      <c r="C169" s="179" t="str">
        <f>IF(LEN(A169)=0,"",INDEX('Smelter Look-up'!$C:$C,MATCH($A169,'Smelter Look-up'!$E:$E,0)))</f>
        <v/>
      </c>
      <c r="D169" s="222"/>
      <c r="E169" s="175" t="str">
        <f ca="1">IF(ISERROR($V169),"",OFFSET('Smelter Look-up'!$D$4,$V169-4,0)&amp;"")</f>
        <v/>
      </c>
      <c r="F169" s="175" t="str">
        <f ca="1">IF(ISERROR($V169),"",OFFSET('Smelter Look-up'!$E$4,$V169-4,0))</f>
        <v/>
      </c>
      <c r="G169" s="175" t="str">
        <f ca="1">IF(C169=$X$4,IF(ISERROR($V169),"Enter smelter details","RMI"),IF(ISERROR($V169),"",OFFSET('Smelter Look-up'!$F$4,$V169-4,0)))</f>
        <v/>
      </c>
      <c r="H169" s="176" t="str">
        <f ca="1">IF(ISERROR($V169),"",OFFSET('Smelter Look-up'!$G$4,$V169-4,0))</f>
        <v/>
      </c>
      <c r="I169" s="177" t="str">
        <f ca="1">IF(ISERROR($V169),"",OFFSET('Smelter Look-up'!$H$4,$V169-4,0))</f>
        <v/>
      </c>
      <c r="J169" s="177" t="str">
        <f ca="1">IF(ISERROR($V169),"",OFFSET('Smelter Look-up'!$I$4,$V169-4,0))</f>
        <v/>
      </c>
      <c r="K169" s="216"/>
      <c r="L169" s="216"/>
      <c r="M169" s="216"/>
      <c r="N169" s="216"/>
      <c r="O169" s="216"/>
      <c r="P169" s="178"/>
      <c r="Q169" s="217"/>
      <c r="R169" s="175" t="str">
        <f ca="1">IF(ISERROR($V169),"",OFFSET('Smelter Look-up'!$C$4,$V169-4,0)&amp;"")</f>
        <v/>
      </c>
      <c r="S169" s="174" t="str">
        <f t="shared" ca="1" si="24"/>
        <v/>
      </c>
      <c r="T169" s="174" t="str">
        <f ca="1">IF(B169="","",IF(ISERROR(MATCH($J169,SorP!$B$1:$B$6279,0)),"",INDIRECT("'SorP'!$A$"&amp;MATCH($S169&amp;$J169,SorP!C:C,0))))</f>
        <v/>
      </c>
      <c r="U169" s="194"/>
      <c r="V169" s="218" t="e">
        <f>IF(C169="",NA(),IF(OR(C169="Smelter not listed",C169="Smelter not yet identified"),MATCH($B169&amp;$D169,'Smelter Look-up'!$J:$J,0),MATCH($B169&amp;$C169,'Smelter Look-up'!$J:$J,0)))</f>
        <v>#N/A</v>
      </c>
      <c r="X169" s="219">
        <f t="shared" ca="1" si="25"/>
        <v>0</v>
      </c>
      <c r="AB169" s="220" t="str">
        <f t="shared" si="26"/>
        <v/>
      </c>
    </row>
    <row r="170" spans="1:28" s="219" customFormat="1" ht="20.25">
      <c r="A170" s="174"/>
      <c r="B170" s="175" t="str">
        <f>IF(LEN(A170)=0,"",INDEX('Smelter Look-up'!$A:$A,MATCH($A170,'Smelter Look-up'!$E:$E,0)))</f>
        <v/>
      </c>
      <c r="C170" s="179" t="str">
        <f>IF(LEN(A170)=0,"",INDEX('Smelter Look-up'!$C:$C,MATCH($A170,'Smelter Look-up'!$E:$E,0)))</f>
        <v/>
      </c>
      <c r="D170" s="222"/>
      <c r="E170" s="175" t="str">
        <f ca="1">IF(ISERROR($V170),"",OFFSET('Smelter Look-up'!$D$4,$V170-4,0)&amp;"")</f>
        <v/>
      </c>
      <c r="F170" s="175" t="str">
        <f ca="1">IF(ISERROR($V170),"",OFFSET('Smelter Look-up'!$E$4,$V170-4,0))</f>
        <v/>
      </c>
      <c r="G170" s="175" t="str">
        <f ca="1">IF(C170=$X$4,IF(ISERROR($V170),"Enter smelter details","RMI"),IF(ISERROR($V170),"",OFFSET('Smelter Look-up'!$F$4,$V170-4,0)))</f>
        <v/>
      </c>
      <c r="H170" s="176" t="str">
        <f ca="1">IF(ISERROR($V170),"",OFFSET('Smelter Look-up'!$G$4,$V170-4,0))</f>
        <v/>
      </c>
      <c r="I170" s="177" t="str">
        <f ca="1">IF(ISERROR($V170),"",OFFSET('Smelter Look-up'!$H$4,$V170-4,0))</f>
        <v/>
      </c>
      <c r="J170" s="177" t="str">
        <f ca="1">IF(ISERROR($V170),"",OFFSET('Smelter Look-up'!$I$4,$V170-4,0))</f>
        <v/>
      </c>
      <c r="K170" s="216"/>
      <c r="L170" s="216"/>
      <c r="M170" s="216"/>
      <c r="N170" s="216"/>
      <c r="O170" s="216"/>
      <c r="P170" s="178"/>
      <c r="Q170" s="217"/>
      <c r="R170" s="175" t="str">
        <f ca="1">IF(ISERROR($V170),"",OFFSET('Smelter Look-up'!$C$4,$V170-4,0)&amp;"")</f>
        <v/>
      </c>
      <c r="S170" s="174" t="str">
        <f t="shared" ca="1" si="24"/>
        <v/>
      </c>
      <c r="T170" s="174" t="str">
        <f ca="1">IF(B170="","",IF(ISERROR(MATCH($J170,SorP!$B$1:$B$6279,0)),"",INDIRECT("'SorP'!$A$"&amp;MATCH($S170&amp;$J170,SorP!C:C,0))))</f>
        <v/>
      </c>
      <c r="U170" s="194"/>
      <c r="V170" s="218" t="e">
        <f>IF(C170="",NA(),IF(OR(C170="Smelter not listed",C170="Smelter not yet identified"),MATCH($B170&amp;$D170,'Smelter Look-up'!$J:$J,0),MATCH($B170&amp;$C170,'Smelter Look-up'!$J:$J,0)))</f>
        <v>#N/A</v>
      </c>
      <c r="X170" s="219">
        <f t="shared" ca="1" si="25"/>
        <v>0</v>
      </c>
      <c r="AB170" s="220" t="str">
        <f t="shared" si="26"/>
        <v/>
      </c>
    </row>
    <row r="171" spans="1:28" s="219" customFormat="1" ht="20.25">
      <c r="A171" s="174"/>
      <c r="B171" s="175" t="str">
        <f>IF(LEN(A171)=0,"",INDEX('Smelter Look-up'!$A:$A,MATCH($A171,'Smelter Look-up'!$E:$E,0)))</f>
        <v/>
      </c>
      <c r="C171" s="179" t="str">
        <f>IF(LEN(A171)=0,"",INDEX('Smelter Look-up'!$C:$C,MATCH($A171,'Smelter Look-up'!$E:$E,0)))</f>
        <v/>
      </c>
      <c r="D171" s="222"/>
      <c r="E171" s="175" t="str">
        <f ca="1">IF(ISERROR($V171),"",OFFSET('Smelter Look-up'!$D$4,$V171-4,0)&amp;"")</f>
        <v/>
      </c>
      <c r="F171" s="175" t="str">
        <f ca="1">IF(ISERROR($V171),"",OFFSET('Smelter Look-up'!$E$4,$V171-4,0))</f>
        <v/>
      </c>
      <c r="G171" s="175" t="str">
        <f ca="1">IF(C171=$X$4,IF(ISERROR($V171),"Enter smelter details","RMI"),IF(ISERROR($V171),"",OFFSET('Smelter Look-up'!$F$4,$V171-4,0)))</f>
        <v/>
      </c>
      <c r="H171" s="176" t="str">
        <f ca="1">IF(ISERROR($V171),"",OFFSET('Smelter Look-up'!$G$4,$V171-4,0))</f>
        <v/>
      </c>
      <c r="I171" s="177" t="str">
        <f ca="1">IF(ISERROR($V171),"",OFFSET('Smelter Look-up'!$H$4,$V171-4,0))</f>
        <v/>
      </c>
      <c r="J171" s="177" t="str">
        <f ca="1">IF(ISERROR($V171),"",OFFSET('Smelter Look-up'!$I$4,$V171-4,0))</f>
        <v/>
      </c>
      <c r="K171" s="216"/>
      <c r="L171" s="216"/>
      <c r="M171" s="216"/>
      <c r="N171" s="216"/>
      <c r="O171" s="216"/>
      <c r="P171" s="178"/>
      <c r="Q171" s="217"/>
      <c r="R171" s="175" t="str">
        <f ca="1">IF(ISERROR($V171),"",OFFSET('Smelter Look-up'!$C$4,$V171-4,0)&amp;"")</f>
        <v/>
      </c>
      <c r="S171" s="174" t="str">
        <f t="shared" ca="1" si="24"/>
        <v/>
      </c>
      <c r="T171" s="174" t="str">
        <f ca="1">IF(B171="","",IF(ISERROR(MATCH($J171,SorP!$B$1:$B$6279,0)),"",INDIRECT("'SorP'!$A$"&amp;MATCH($S171&amp;$J171,SorP!C:C,0))))</f>
        <v/>
      </c>
      <c r="U171" s="194"/>
      <c r="V171" s="218" t="e">
        <f>IF(C171="",NA(),IF(OR(C171="Smelter not listed",C171="Smelter not yet identified"),MATCH($B171&amp;$D171,'Smelter Look-up'!$J:$J,0),MATCH($B171&amp;$C171,'Smelter Look-up'!$J:$J,0)))</f>
        <v>#N/A</v>
      </c>
      <c r="X171" s="219">
        <f t="shared" ca="1" si="25"/>
        <v>0</v>
      </c>
      <c r="AB171" s="220" t="str">
        <f t="shared" si="26"/>
        <v/>
      </c>
    </row>
    <row r="172" spans="1:28" s="219" customFormat="1" ht="20.25">
      <c r="A172" s="174"/>
      <c r="B172" s="175" t="str">
        <f>IF(LEN(A172)=0,"",INDEX('Smelter Look-up'!$A:$A,MATCH($A172,'Smelter Look-up'!$E:$E,0)))</f>
        <v/>
      </c>
      <c r="C172" s="179" t="str">
        <f>IF(LEN(A172)=0,"",INDEX('Smelter Look-up'!$C:$C,MATCH($A172,'Smelter Look-up'!$E:$E,0)))</f>
        <v/>
      </c>
      <c r="D172" s="222"/>
      <c r="E172" s="175" t="str">
        <f ca="1">IF(ISERROR($V172),"",OFFSET('Smelter Look-up'!$D$4,$V172-4,0)&amp;"")</f>
        <v/>
      </c>
      <c r="F172" s="175" t="str">
        <f ca="1">IF(ISERROR($V172),"",OFFSET('Smelter Look-up'!$E$4,$V172-4,0))</f>
        <v/>
      </c>
      <c r="G172" s="175" t="str">
        <f ca="1">IF(C172=$X$4,IF(ISERROR($V172),"Enter smelter details","RMI"),IF(ISERROR($V172),"",OFFSET('Smelter Look-up'!$F$4,$V172-4,0)))</f>
        <v/>
      </c>
      <c r="H172" s="176" t="str">
        <f ca="1">IF(ISERROR($V172),"",OFFSET('Smelter Look-up'!$G$4,$V172-4,0))</f>
        <v/>
      </c>
      <c r="I172" s="177" t="str">
        <f ca="1">IF(ISERROR($V172),"",OFFSET('Smelter Look-up'!$H$4,$V172-4,0))</f>
        <v/>
      </c>
      <c r="J172" s="177" t="str">
        <f ca="1">IF(ISERROR($V172),"",OFFSET('Smelter Look-up'!$I$4,$V172-4,0))</f>
        <v/>
      </c>
      <c r="K172" s="216"/>
      <c r="L172" s="216"/>
      <c r="M172" s="216"/>
      <c r="N172" s="216"/>
      <c r="O172" s="216"/>
      <c r="P172" s="178"/>
      <c r="Q172" s="217"/>
      <c r="R172" s="175" t="str">
        <f ca="1">IF(ISERROR($V172),"",OFFSET('Smelter Look-up'!$C$4,$V172-4,0)&amp;"")</f>
        <v/>
      </c>
      <c r="S172" s="174" t="str">
        <f t="shared" ca="1" si="24"/>
        <v/>
      </c>
      <c r="T172" s="174" t="str">
        <f ca="1">IF(B172="","",IF(ISERROR(MATCH($J172,SorP!$B$1:$B$6279,0)),"",INDIRECT("'SorP'!$A$"&amp;MATCH($S172&amp;$J172,SorP!C:C,0))))</f>
        <v/>
      </c>
      <c r="U172" s="194"/>
      <c r="V172" s="218" t="e">
        <f>IF(C172="",NA(),IF(OR(C172="Smelter not listed",C172="Smelter not yet identified"),MATCH($B172&amp;$D172,'Smelter Look-up'!$J:$J,0),MATCH($B172&amp;$C172,'Smelter Look-up'!$J:$J,0)))</f>
        <v>#N/A</v>
      </c>
      <c r="X172" s="219">
        <f t="shared" ca="1" si="25"/>
        <v>0</v>
      </c>
      <c r="AB172" s="220" t="str">
        <f t="shared" si="26"/>
        <v/>
      </c>
    </row>
    <row r="173" spans="1:28" s="219" customFormat="1" ht="20.25">
      <c r="A173" s="174"/>
      <c r="B173" s="175" t="str">
        <f>IF(LEN(A173)=0,"",INDEX('Smelter Look-up'!$A:$A,MATCH($A173,'Smelter Look-up'!$E:$E,0)))</f>
        <v/>
      </c>
      <c r="C173" s="179" t="str">
        <f>IF(LEN(A173)=0,"",INDEX('Smelter Look-up'!$C:$C,MATCH($A173,'Smelter Look-up'!$E:$E,0)))</f>
        <v/>
      </c>
      <c r="D173" s="222"/>
      <c r="E173" s="175" t="str">
        <f ca="1">IF(ISERROR($V173),"",OFFSET('Smelter Look-up'!$D$4,$V173-4,0)&amp;"")</f>
        <v/>
      </c>
      <c r="F173" s="175" t="str">
        <f ca="1">IF(ISERROR($V173),"",OFFSET('Smelter Look-up'!$E$4,$V173-4,0))</f>
        <v/>
      </c>
      <c r="G173" s="175" t="str">
        <f ca="1">IF(C173=$X$4,IF(ISERROR($V173),"Enter smelter details","RMI"),IF(ISERROR($V173),"",OFFSET('Smelter Look-up'!$F$4,$V173-4,0)))</f>
        <v/>
      </c>
      <c r="H173" s="176" t="str">
        <f ca="1">IF(ISERROR($V173),"",OFFSET('Smelter Look-up'!$G$4,$V173-4,0))</f>
        <v/>
      </c>
      <c r="I173" s="177" t="str">
        <f ca="1">IF(ISERROR($V173),"",OFFSET('Smelter Look-up'!$H$4,$V173-4,0))</f>
        <v/>
      </c>
      <c r="J173" s="177" t="str">
        <f ca="1">IF(ISERROR($V173),"",OFFSET('Smelter Look-up'!$I$4,$V173-4,0))</f>
        <v/>
      </c>
      <c r="K173" s="216"/>
      <c r="L173" s="216"/>
      <c r="M173" s="216"/>
      <c r="N173" s="216"/>
      <c r="O173" s="216"/>
      <c r="P173" s="178"/>
      <c r="Q173" s="217"/>
      <c r="R173" s="175" t="str">
        <f ca="1">IF(ISERROR($V173),"",OFFSET('Smelter Look-up'!$C$4,$V173-4,0)&amp;"")</f>
        <v/>
      </c>
      <c r="S173" s="174" t="str">
        <f t="shared" ca="1" si="24"/>
        <v/>
      </c>
      <c r="T173" s="174" t="str">
        <f ca="1">IF(B173="","",IF(ISERROR(MATCH($J173,SorP!$B$1:$B$6279,0)),"",INDIRECT("'SorP'!$A$"&amp;MATCH($S173&amp;$J173,SorP!C:C,0))))</f>
        <v/>
      </c>
      <c r="U173" s="194"/>
      <c r="V173" s="218" t="e">
        <f>IF(C173="",NA(),IF(OR(C173="Smelter not listed",C173="Smelter not yet identified"),MATCH($B173&amp;$D173,'Smelter Look-up'!$J:$J,0),MATCH($B173&amp;$C173,'Smelter Look-up'!$J:$J,0)))</f>
        <v>#N/A</v>
      </c>
      <c r="X173" s="219">
        <f t="shared" ca="1" si="25"/>
        <v>0</v>
      </c>
      <c r="AB173" s="220" t="str">
        <f t="shared" si="26"/>
        <v/>
      </c>
    </row>
    <row r="174" spans="1:28" s="219" customFormat="1" ht="20.25">
      <c r="A174" s="174"/>
      <c r="B174" s="175" t="str">
        <f>IF(LEN(A174)=0,"",INDEX('Smelter Look-up'!$A:$A,MATCH($A174,'Smelter Look-up'!$E:$E,0)))</f>
        <v/>
      </c>
      <c r="C174" s="179" t="str">
        <f>IF(LEN(A174)=0,"",INDEX('Smelter Look-up'!$C:$C,MATCH($A174,'Smelter Look-up'!$E:$E,0)))</f>
        <v/>
      </c>
      <c r="D174" s="222"/>
      <c r="E174" s="175" t="str">
        <f ca="1">IF(ISERROR($V174),"",OFFSET('Smelter Look-up'!$D$4,$V174-4,0)&amp;"")</f>
        <v/>
      </c>
      <c r="F174" s="175" t="str">
        <f ca="1">IF(ISERROR($V174),"",OFFSET('Smelter Look-up'!$E$4,$V174-4,0))</f>
        <v/>
      </c>
      <c r="G174" s="175" t="str">
        <f ca="1">IF(C174=$X$4,IF(ISERROR($V174),"Enter smelter details","RMI"),IF(ISERROR($V174),"",OFFSET('Smelter Look-up'!$F$4,$V174-4,0)))</f>
        <v/>
      </c>
      <c r="H174" s="176" t="str">
        <f ca="1">IF(ISERROR($V174),"",OFFSET('Smelter Look-up'!$G$4,$V174-4,0))</f>
        <v/>
      </c>
      <c r="I174" s="177" t="str">
        <f ca="1">IF(ISERROR($V174),"",OFFSET('Smelter Look-up'!$H$4,$V174-4,0))</f>
        <v/>
      </c>
      <c r="J174" s="177" t="str">
        <f ca="1">IF(ISERROR($V174),"",OFFSET('Smelter Look-up'!$I$4,$V174-4,0))</f>
        <v/>
      </c>
      <c r="K174" s="216"/>
      <c r="L174" s="216"/>
      <c r="M174" s="216"/>
      <c r="N174" s="216"/>
      <c r="O174" s="216"/>
      <c r="P174" s="178"/>
      <c r="Q174" s="217"/>
      <c r="R174" s="175" t="str">
        <f ca="1">IF(ISERROR($V174),"",OFFSET('Smelter Look-up'!$C$4,$V174-4,0)&amp;"")</f>
        <v/>
      </c>
      <c r="S174" s="174" t="str">
        <f t="shared" ca="1" si="24"/>
        <v/>
      </c>
      <c r="T174" s="174" t="str">
        <f ca="1">IF(B174="","",IF(ISERROR(MATCH($J174,SorP!$B$1:$B$6279,0)),"",INDIRECT("'SorP'!$A$"&amp;MATCH($S174&amp;$J174,SorP!C:C,0))))</f>
        <v/>
      </c>
      <c r="U174" s="194"/>
      <c r="V174" s="218" t="e">
        <f>IF(C174="",NA(),IF(OR(C174="Smelter not listed",C174="Smelter not yet identified"),MATCH($B174&amp;$D174,'Smelter Look-up'!$J:$J,0),MATCH($B174&amp;$C174,'Smelter Look-up'!$J:$J,0)))</f>
        <v>#N/A</v>
      </c>
      <c r="X174" s="219">
        <f t="shared" ca="1" si="25"/>
        <v>0</v>
      </c>
      <c r="AB174" s="220" t="str">
        <f t="shared" si="26"/>
        <v/>
      </c>
    </row>
    <row r="175" spans="1:28" s="219" customFormat="1" ht="20.25">
      <c r="A175" s="174"/>
      <c r="B175" s="175" t="str">
        <f>IF(LEN(A175)=0,"",INDEX('Smelter Look-up'!$A:$A,MATCH($A175,'Smelter Look-up'!$E:$E,0)))</f>
        <v/>
      </c>
      <c r="C175" s="179" t="str">
        <f>IF(LEN(A175)=0,"",INDEX('Smelter Look-up'!$C:$C,MATCH($A175,'Smelter Look-up'!$E:$E,0)))</f>
        <v/>
      </c>
      <c r="D175" s="222"/>
      <c r="E175" s="175" t="str">
        <f ca="1">IF(ISERROR($V175),"",OFFSET('Smelter Look-up'!$D$4,$V175-4,0)&amp;"")</f>
        <v/>
      </c>
      <c r="F175" s="175" t="str">
        <f ca="1">IF(ISERROR($V175),"",OFFSET('Smelter Look-up'!$E$4,$V175-4,0))</f>
        <v/>
      </c>
      <c r="G175" s="175" t="str">
        <f ca="1">IF(C175=$X$4,IF(ISERROR($V175),"Enter smelter details","RMI"),IF(ISERROR($V175),"",OFFSET('Smelter Look-up'!$F$4,$V175-4,0)))</f>
        <v/>
      </c>
      <c r="H175" s="176" t="str">
        <f ca="1">IF(ISERROR($V175),"",OFFSET('Smelter Look-up'!$G$4,$V175-4,0))</f>
        <v/>
      </c>
      <c r="I175" s="177" t="str">
        <f ca="1">IF(ISERROR($V175),"",OFFSET('Smelter Look-up'!$H$4,$V175-4,0))</f>
        <v/>
      </c>
      <c r="J175" s="177" t="str">
        <f ca="1">IF(ISERROR($V175),"",OFFSET('Smelter Look-up'!$I$4,$V175-4,0))</f>
        <v/>
      </c>
      <c r="K175" s="216"/>
      <c r="L175" s="216"/>
      <c r="M175" s="216"/>
      <c r="N175" s="216"/>
      <c r="O175" s="216"/>
      <c r="P175" s="178"/>
      <c r="Q175" s="217"/>
      <c r="R175" s="175" t="str">
        <f ca="1">IF(ISERROR($V175),"",OFFSET('Smelter Look-up'!$C$4,$V175-4,0)&amp;"")</f>
        <v/>
      </c>
      <c r="S175" s="174" t="str">
        <f t="shared" ca="1" si="24"/>
        <v/>
      </c>
      <c r="T175" s="174" t="str">
        <f ca="1">IF(B175="","",IF(ISERROR(MATCH($J175,SorP!$B$1:$B$6279,0)),"",INDIRECT("'SorP'!$A$"&amp;MATCH($S175&amp;$J175,SorP!C:C,0))))</f>
        <v/>
      </c>
      <c r="U175" s="194"/>
      <c r="V175" s="218" t="e">
        <f>IF(C175="",NA(),IF(OR(C175="Smelter not listed",C175="Smelter not yet identified"),MATCH($B175&amp;$D175,'Smelter Look-up'!$J:$J,0),MATCH($B175&amp;$C175,'Smelter Look-up'!$J:$J,0)))</f>
        <v>#N/A</v>
      </c>
      <c r="X175" s="219">
        <f t="shared" ca="1" si="25"/>
        <v>0</v>
      </c>
      <c r="AB175" s="220" t="str">
        <f t="shared" si="26"/>
        <v/>
      </c>
    </row>
    <row r="176" spans="1:28" s="219" customFormat="1" ht="20.25">
      <c r="A176" s="174"/>
      <c r="B176" s="175" t="str">
        <f>IF(LEN(A176)=0,"",INDEX('Smelter Look-up'!$A:$A,MATCH($A176,'Smelter Look-up'!$E:$E,0)))</f>
        <v/>
      </c>
      <c r="C176" s="179" t="str">
        <f>IF(LEN(A176)=0,"",INDEX('Smelter Look-up'!$C:$C,MATCH($A176,'Smelter Look-up'!$E:$E,0)))</f>
        <v/>
      </c>
      <c r="D176" s="222"/>
      <c r="E176" s="175" t="str">
        <f ca="1">IF(ISERROR($V176),"",OFFSET('Smelter Look-up'!$D$4,$V176-4,0)&amp;"")</f>
        <v/>
      </c>
      <c r="F176" s="175" t="str">
        <f ca="1">IF(ISERROR($V176),"",OFFSET('Smelter Look-up'!$E$4,$V176-4,0))</f>
        <v/>
      </c>
      <c r="G176" s="175" t="str">
        <f ca="1">IF(C176=$X$4,IF(ISERROR($V176),"Enter smelter details","RMI"),IF(ISERROR($V176),"",OFFSET('Smelter Look-up'!$F$4,$V176-4,0)))</f>
        <v/>
      </c>
      <c r="H176" s="176" t="str">
        <f ca="1">IF(ISERROR($V176),"",OFFSET('Smelter Look-up'!$G$4,$V176-4,0))</f>
        <v/>
      </c>
      <c r="I176" s="177" t="str">
        <f ca="1">IF(ISERROR($V176),"",OFFSET('Smelter Look-up'!$H$4,$V176-4,0))</f>
        <v/>
      </c>
      <c r="J176" s="177" t="str">
        <f ca="1">IF(ISERROR($V176),"",OFFSET('Smelter Look-up'!$I$4,$V176-4,0))</f>
        <v/>
      </c>
      <c r="K176" s="216"/>
      <c r="L176" s="216"/>
      <c r="M176" s="216"/>
      <c r="N176" s="216"/>
      <c r="O176" s="216"/>
      <c r="P176" s="178"/>
      <c r="Q176" s="217"/>
      <c r="R176" s="175" t="str">
        <f ca="1">IF(ISERROR($V176),"",OFFSET('Smelter Look-up'!$C$4,$V176-4,0)&amp;"")</f>
        <v/>
      </c>
      <c r="S176" s="174" t="str">
        <f t="shared" ca="1" si="24"/>
        <v/>
      </c>
      <c r="T176" s="174" t="str">
        <f ca="1">IF(B176="","",IF(ISERROR(MATCH($J176,SorP!$B$1:$B$6279,0)),"",INDIRECT("'SorP'!$A$"&amp;MATCH($S176&amp;$J176,SorP!C:C,0))))</f>
        <v/>
      </c>
      <c r="U176" s="194"/>
      <c r="V176" s="218" t="e">
        <f>IF(C176="",NA(),IF(OR(C176="Smelter not listed",C176="Smelter not yet identified"),MATCH($B176&amp;$D176,'Smelter Look-up'!$J:$J,0),MATCH($B176&amp;$C176,'Smelter Look-up'!$J:$J,0)))</f>
        <v>#N/A</v>
      </c>
      <c r="X176" s="219">
        <f t="shared" ca="1" si="25"/>
        <v>0</v>
      </c>
      <c r="AB176" s="220" t="str">
        <f t="shared" si="26"/>
        <v/>
      </c>
    </row>
    <row r="177" spans="1:28" s="219" customFormat="1" ht="20.25">
      <c r="A177" s="174"/>
      <c r="B177" s="175" t="str">
        <f>IF(LEN(A177)=0,"",INDEX('Smelter Look-up'!$A:$A,MATCH($A177,'Smelter Look-up'!$E:$E,0)))</f>
        <v/>
      </c>
      <c r="C177" s="179" t="str">
        <f>IF(LEN(A177)=0,"",INDEX('Smelter Look-up'!$C:$C,MATCH($A177,'Smelter Look-up'!$E:$E,0)))</f>
        <v/>
      </c>
      <c r="D177" s="222"/>
      <c r="E177" s="175" t="str">
        <f ca="1">IF(ISERROR($V177),"",OFFSET('Smelter Look-up'!$D$4,$V177-4,0)&amp;"")</f>
        <v/>
      </c>
      <c r="F177" s="175" t="str">
        <f ca="1">IF(ISERROR($V177),"",OFFSET('Smelter Look-up'!$E$4,$V177-4,0))</f>
        <v/>
      </c>
      <c r="G177" s="175" t="str">
        <f ca="1">IF(C177=$X$4,IF(ISERROR($V177),"Enter smelter details","RMI"),IF(ISERROR($V177),"",OFFSET('Smelter Look-up'!$F$4,$V177-4,0)))</f>
        <v/>
      </c>
      <c r="H177" s="176" t="str">
        <f ca="1">IF(ISERROR($V177),"",OFFSET('Smelter Look-up'!$G$4,$V177-4,0))</f>
        <v/>
      </c>
      <c r="I177" s="177" t="str">
        <f ca="1">IF(ISERROR($V177),"",OFFSET('Smelter Look-up'!$H$4,$V177-4,0))</f>
        <v/>
      </c>
      <c r="J177" s="177" t="str">
        <f ca="1">IF(ISERROR($V177),"",OFFSET('Smelter Look-up'!$I$4,$V177-4,0))</f>
        <v/>
      </c>
      <c r="K177" s="216"/>
      <c r="L177" s="216"/>
      <c r="M177" s="216"/>
      <c r="N177" s="216"/>
      <c r="O177" s="216"/>
      <c r="P177" s="178"/>
      <c r="Q177" s="217"/>
      <c r="R177" s="175" t="str">
        <f ca="1">IF(ISERROR($V177),"",OFFSET('Smelter Look-up'!$C$4,$V177-4,0)&amp;"")</f>
        <v/>
      </c>
      <c r="S177" s="174" t="str">
        <f t="shared" ca="1" si="24"/>
        <v/>
      </c>
      <c r="T177" s="174" t="str">
        <f ca="1">IF(B177="","",IF(ISERROR(MATCH($J177,SorP!$B$1:$B$6279,0)),"",INDIRECT("'SorP'!$A$"&amp;MATCH($S177&amp;$J177,SorP!C:C,0))))</f>
        <v/>
      </c>
      <c r="U177" s="194"/>
      <c r="V177" s="218" t="e">
        <f>IF(C177="",NA(),IF(OR(C177="Smelter not listed",C177="Smelter not yet identified"),MATCH($B177&amp;$D177,'Smelter Look-up'!$J:$J,0),MATCH($B177&amp;$C177,'Smelter Look-up'!$J:$J,0)))</f>
        <v>#N/A</v>
      </c>
      <c r="X177" s="219">
        <f t="shared" ca="1" si="25"/>
        <v>0</v>
      </c>
      <c r="AB177" s="220" t="str">
        <f t="shared" si="26"/>
        <v/>
      </c>
    </row>
    <row r="178" spans="1:28" s="219" customFormat="1" ht="20.25">
      <c r="A178" s="174"/>
      <c r="B178" s="175" t="str">
        <f>IF(LEN(A178)=0,"",INDEX('Smelter Look-up'!$A:$A,MATCH($A178,'Smelter Look-up'!$E:$E,0)))</f>
        <v/>
      </c>
      <c r="C178" s="179" t="str">
        <f>IF(LEN(A178)=0,"",INDEX('Smelter Look-up'!$C:$C,MATCH($A178,'Smelter Look-up'!$E:$E,0)))</f>
        <v/>
      </c>
      <c r="D178" s="222"/>
      <c r="E178" s="175" t="str">
        <f ca="1">IF(ISERROR($V178),"",OFFSET('Smelter Look-up'!$D$4,$V178-4,0)&amp;"")</f>
        <v/>
      </c>
      <c r="F178" s="175" t="str">
        <f ca="1">IF(ISERROR($V178),"",OFFSET('Smelter Look-up'!$E$4,$V178-4,0))</f>
        <v/>
      </c>
      <c r="G178" s="175" t="str">
        <f ca="1">IF(C178=$X$4,IF(ISERROR($V178),"Enter smelter details","RMI"),IF(ISERROR($V178),"",OFFSET('Smelter Look-up'!$F$4,$V178-4,0)))</f>
        <v/>
      </c>
      <c r="H178" s="176" t="str">
        <f ca="1">IF(ISERROR($V178),"",OFFSET('Smelter Look-up'!$G$4,$V178-4,0))</f>
        <v/>
      </c>
      <c r="I178" s="177" t="str">
        <f ca="1">IF(ISERROR($V178),"",OFFSET('Smelter Look-up'!$H$4,$V178-4,0))</f>
        <v/>
      </c>
      <c r="J178" s="177" t="str">
        <f ca="1">IF(ISERROR($V178),"",OFFSET('Smelter Look-up'!$I$4,$V178-4,0))</f>
        <v/>
      </c>
      <c r="K178" s="216"/>
      <c r="L178" s="216"/>
      <c r="M178" s="216"/>
      <c r="N178" s="216"/>
      <c r="O178" s="216"/>
      <c r="P178" s="178"/>
      <c r="Q178" s="217"/>
      <c r="R178" s="175" t="str">
        <f ca="1">IF(ISERROR($V178),"",OFFSET('Smelter Look-up'!$C$4,$V178-4,0)&amp;"")</f>
        <v/>
      </c>
      <c r="S178" s="174" t="str">
        <f t="shared" ca="1" si="24"/>
        <v/>
      </c>
      <c r="T178" s="174" t="str">
        <f ca="1">IF(B178="","",IF(ISERROR(MATCH($J178,SorP!$B$1:$B$6279,0)),"",INDIRECT("'SorP'!$A$"&amp;MATCH($S178&amp;$J178,SorP!C:C,0))))</f>
        <v/>
      </c>
      <c r="U178" s="194"/>
      <c r="V178" s="218" t="e">
        <f>IF(C178="",NA(),IF(OR(C178="Smelter not listed",C178="Smelter not yet identified"),MATCH($B178&amp;$D178,'Smelter Look-up'!$J:$J,0),MATCH($B178&amp;$C178,'Smelter Look-up'!$J:$J,0)))</f>
        <v>#N/A</v>
      </c>
      <c r="X178" s="219">
        <f t="shared" ca="1" si="25"/>
        <v>0</v>
      </c>
      <c r="AB178" s="220" t="str">
        <f t="shared" si="26"/>
        <v/>
      </c>
    </row>
    <row r="179" spans="1:28" s="219" customFormat="1" ht="20.25">
      <c r="A179" s="174"/>
      <c r="B179" s="175" t="str">
        <f>IF(LEN(A179)=0,"",INDEX('Smelter Look-up'!$A:$A,MATCH($A179,'Smelter Look-up'!$E:$E,0)))</f>
        <v/>
      </c>
      <c r="C179" s="179" t="str">
        <f>IF(LEN(A179)=0,"",INDEX('Smelter Look-up'!$C:$C,MATCH($A179,'Smelter Look-up'!$E:$E,0)))</f>
        <v/>
      </c>
      <c r="D179" s="222"/>
      <c r="E179" s="175" t="str">
        <f ca="1">IF(ISERROR($V179),"",OFFSET('Smelter Look-up'!$D$4,$V179-4,0)&amp;"")</f>
        <v/>
      </c>
      <c r="F179" s="175" t="str">
        <f ca="1">IF(ISERROR($V179),"",OFFSET('Smelter Look-up'!$E$4,$V179-4,0))</f>
        <v/>
      </c>
      <c r="G179" s="175" t="str">
        <f ca="1">IF(C179=$X$4,IF(ISERROR($V179),"Enter smelter details","RMI"),IF(ISERROR($V179),"",OFFSET('Smelter Look-up'!$F$4,$V179-4,0)))</f>
        <v/>
      </c>
      <c r="H179" s="176" t="str">
        <f ca="1">IF(ISERROR($V179),"",OFFSET('Smelter Look-up'!$G$4,$V179-4,0))</f>
        <v/>
      </c>
      <c r="I179" s="177" t="str">
        <f ca="1">IF(ISERROR($V179),"",OFFSET('Smelter Look-up'!$H$4,$V179-4,0))</f>
        <v/>
      </c>
      <c r="J179" s="177" t="str">
        <f ca="1">IF(ISERROR($V179),"",OFFSET('Smelter Look-up'!$I$4,$V179-4,0))</f>
        <v/>
      </c>
      <c r="K179" s="216"/>
      <c r="L179" s="216"/>
      <c r="M179" s="216"/>
      <c r="N179" s="216"/>
      <c r="O179" s="216"/>
      <c r="P179" s="178"/>
      <c r="Q179" s="217"/>
      <c r="R179" s="175" t="str">
        <f ca="1">IF(ISERROR($V179),"",OFFSET('Smelter Look-up'!$C$4,$V179-4,0)&amp;"")</f>
        <v/>
      </c>
      <c r="S179" s="174" t="str">
        <f t="shared" ca="1" si="24"/>
        <v/>
      </c>
      <c r="T179" s="174" t="str">
        <f ca="1">IF(B179="","",IF(ISERROR(MATCH($J179,SorP!$B$1:$B$6279,0)),"",INDIRECT("'SorP'!$A$"&amp;MATCH($S179&amp;$J179,SorP!C:C,0))))</f>
        <v/>
      </c>
      <c r="U179" s="194"/>
      <c r="V179" s="218" t="e">
        <f>IF(C179="",NA(),IF(OR(C179="Smelter not listed",C179="Smelter not yet identified"),MATCH($B179&amp;$D179,'Smelter Look-up'!$J:$J,0),MATCH($B179&amp;$C179,'Smelter Look-up'!$J:$J,0)))</f>
        <v>#N/A</v>
      </c>
      <c r="X179" s="219">
        <f t="shared" ca="1" si="25"/>
        <v>0</v>
      </c>
      <c r="AB179" s="220" t="str">
        <f t="shared" si="26"/>
        <v/>
      </c>
    </row>
    <row r="180" spans="1:28" s="219" customFormat="1" ht="20.25">
      <c r="A180" s="174"/>
      <c r="B180" s="175" t="str">
        <f>IF(LEN(A180)=0,"",INDEX('Smelter Look-up'!$A:$A,MATCH($A180,'Smelter Look-up'!$E:$E,0)))</f>
        <v/>
      </c>
      <c r="C180" s="179" t="str">
        <f>IF(LEN(A180)=0,"",INDEX('Smelter Look-up'!$C:$C,MATCH($A180,'Smelter Look-up'!$E:$E,0)))</f>
        <v/>
      </c>
      <c r="D180" s="222"/>
      <c r="E180" s="175" t="str">
        <f ca="1">IF(ISERROR($V180),"",OFFSET('Smelter Look-up'!$D$4,$V180-4,0)&amp;"")</f>
        <v/>
      </c>
      <c r="F180" s="175" t="str">
        <f ca="1">IF(ISERROR($V180),"",OFFSET('Smelter Look-up'!$E$4,$V180-4,0))</f>
        <v/>
      </c>
      <c r="G180" s="175" t="str">
        <f ca="1">IF(C180=$X$4,IF(ISERROR($V180),"Enter smelter details","RMI"),IF(ISERROR($V180),"",OFFSET('Smelter Look-up'!$F$4,$V180-4,0)))</f>
        <v/>
      </c>
      <c r="H180" s="176" t="str">
        <f ca="1">IF(ISERROR($V180),"",OFFSET('Smelter Look-up'!$G$4,$V180-4,0))</f>
        <v/>
      </c>
      <c r="I180" s="177" t="str">
        <f ca="1">IF(ISERROR($V180),"",OFFSET('Smelter Look-up'!$H$4,$V180-4,0))</f>
        <v/>
      </c>
      <c r="J180" s="177" t="str">
        <f ca="1">IF(ISERROR($V180),"",OFFSET('Smelter Look-up'!$I$4,$V180-4,0))</f>
        <v/>
      </c>
      <c r="K180" s="216"/>
      <c r="L180" s="216"/>
      <c r="M180" s="216"/>
      <c r="N180" s="216"/>
      <c r="O180" s="216"/>
      <c r="P180" s="178"/>
      <c r="Q180" s="217"/>
      <c r="R180" s="175" t="str">
        <f ca="1">IF(ISERROR($V180),"",OFFSET('Smelter Look-up'!$C$4,$V180-4,0)&amp;"")</f>
        <v/>
      </c>
      <c r="S180" s="174" t="str">
        <f t="shared" ca="1" si="24"/>
        <v/>
      </c>
      <c r="T180" s="174" t="str">
        <f ca="1">IF(B180="","",IF(ISERROR(MATCH($J180,SorP!$B$1:$B$6279,0)),"",INDIRECT("'SorP'!$A$"&amp;MATCH($S180&amp;$J180,SorP!C:C,0))))</f>
        <v/>
      </c>
      <c r="U180" s="194"/>
      <c r="V180" s="218" t="e">
        <f>IF(C180="",NA(),IF(OR(C180="Smelter not listed",C180="Smelter not yet identified"),MATCH($B180&amp;$D180,'Smelter Look-up'!$J:$J,0),MATCH($B180&amp;$C180,'Smelter Look-up'!$J:$J,0)))</f>
        <v>#N/A</v>
      </c>
      <c r="X180" s="219">
        <f t="shared" ca="1" si="25"/>
        <v>0</v>
      </c>
      <c r="AB180" s="220" t="str">
        <f t="shared" si="26"/>
        <v/>
      </c>
    </row>
    <row r="181" spans="1:28" s="219" customFormat="1" ht="20.25">
      <c r="A181" s="174"/>
      <c r="B181" s="175" t="str">
        <f>IF(LEN(A181)=0,"",INDEX('Smelter Look-up'!$A:$A,MATCH($A181,'Smelter Look-up'!$E:$E,0)))</f>
        <v/>
      </c>
      <c r="C181" s="179" t="str">
        <f>IF(LEN(A181)=0,"",INDEX('Smelter Look-up'!$C:$C,MATCH($A181,'Smelter Look-up'!$E:$E,0)))</f>
        <v/>
      </c>
      <c r="D181" s="222"/>
      <c r="E181" s="175" t="str">
        <f ca="1">IF(ISERROR($V181),"",OFFSET('Smelter Look-up'!$D$4,$V181-4,0)&amp;"")</f>
        <v/>
      </c>
      <c r="F181" s="175" t="str">
        <f ca="1">IF(ISERROR($V181),"",OFFSET('Smelter Look-up'!$E$4,$V181-4,0))</f>
        <v/>
      </c>
      <c r="G181" s="175" t="str">
        <f ca="1">IF(C181=$X$4,IF(ISERROR($V181),"Enter smelter details","RMI"),IF(ISERROR($V181),"",OFFSET('Smelter Look-up'!$F$4,$V181-4,0)))</f>
        <v/>
      </c>
      <c r="H181" s="176" t="str">
        <f ca="1">IF(ISERROR($V181),"",OFFSET('Smelter Look-up'!$G$4,$V181-4,0))</f>
        <v/>
      </c>
      <c r="I181" s="177" t="str">
        <f ca="1">IF(ISERROR($V181),"",OFFSET('Smelter Look-up'!$H$4,$V181-4,0))</f>
        <v/>
      </c>
      <c r="J181" s="177" t="str">
        <f ca="1">IF(ISERROR($V181),"",OFFSET('Smelter Look-up'!$I$4,$V181-4,0))</f>
        <v/>
      </c>
      <c r="K181" s="216"/>
      <c r="L181" s="216"/>
      <c r="M181" s="216"/>
      <c r="N181" s="216"/>
      <c r="O181" s="216"/>
      <c r="P181" s="178"/>
      <c r="Q181" s="217"/>
      <c r="R181" s="175" t="str">
        <f ca="1">IF(ISERROR($V181),"",OFFSET('Smelter Look-up'!$C$4,$V181-4,0)&amp;"")</f>
        <v/>
      </c>
      <c r="S181" s="174" t="str">
        <f t="shared" ca="1" si="24"/>
        <v/>
      </c>
      <c r="T181" s="174" t="str">
        <f ca="1">IF(B181="","",IF(ISERROR(MATCH($J181,SorP!$B$1:$B$6279,0)),"",INDIRECT("'SorP'!$A$"&amp;MATCH($S181&amp;$J181,SorP!C:C,0))))</f>
        <v/>
      </c>
      <c r="U181" s="194"/>
      <c r="V181" s="218" t="e">
        <f>IF(C181="",NA(),IF(OR(C181="Smelter not listed",C181="Smelter not yet identified"),MATCH($B181&amp;$D181,'Smelter Look-up'!$J:$J,0),MATCH($B181&amp;$C181,'Smelter Look-up'!$J:$J,0)))</f>
        <v>#N/A</v>
      </c>
      <c r="X181" s="219">
        <f t="shared" ca="1" si="25"/>
        <v>0</v>
      </c>
      <c r="AB181" s="220" t="str">
        <f t="shared" si="26"/>
        <v/>
      </c>
    </row>
    <row r="182" spans="1:28" s="219" customFormat="1" ht="20.25">
      <c r="A182" s="174"/>
      <c r="B182" s="175" t="str">
        <f>IF(LEN(A182)=0,"",INDEX('Smelter Look-up'!$A:$A,MATCH($A182,'Smelter Look-up'!$E:$E,0)))</f>
        <v/>
      </c>
      <c r="C182" s="179" t="str">
        <f>IF(LEN(A182)=0,"",INDEX('Smelter Look-up'!$C:$C,MATCH($A182,'Smelter Look-up'!$E:$E,0)))</f>
        <v/>
      </c>
      <c r="D182" s="222"/>
      <c r="E182" s="175" t="str">
        <f ca="1">IF(ISERROR($V182),"",OFFSET('Smelter Look-up'!$D$4,$V182-4,0)&amp;"")</f>
        <v/>
      </c>
      <c r="F182" s="175" t="str">
        <f ca="1">IF(ISERROR($V182),"",OFFSET('Smelter Look-up'!$E$4,$V182-4,0))</f>
        <v/>
      </c>
      <c r="G182" s="175" t="str">
        <f ca="1">IF(C182=$X$4,IF(ISERROR($V182),"Enter smelter details","RMI"),IF(ISERROR($V182),"",OFFSET('Smelter Look-up'!$F$4,$V182-4,0)))</f>
        <v/>
      </c>
      <c r="H182" s="176" t="str">
        <f ca="1">IF(ISERROR($V182),"",OFFSET('Smelter Look-up'!$G$4,$V182-4,0))</f>
        <v/>
      </c>
      <c r="I182" s="177" t="str">
        <f ca="1">IF(ISERROR($V182),"",OFFSET('Smelter Look-up'!$H$4,$V182-4,0))</f>
        <v/>
      </c>
      <c r="J182" s="177" t="str">
        <f ca="1">IF(ISERROR($V182),"",OFFSET('Smelter Look-up'!$I$4,$V182-4,0))</f>
        <v/>
      </c>
      <c r="K182" s="216"/>
      <c r="L182" s="216"/>
      <c r="M182" s="216"/>
      <c r="N182" s="216"/>
      <c r="O182" s="216"/>
      <c r="P182" s="178"/>
      <c r="Q182" s="217"/>
      <c r="R182" s="175" t="str">
        <f ca="1">IF(ISERROR($V182),"",OFFSET('Smelter Look-up'!$C$4,$V182-4,0)&amp;"")</f>
        <v/>
      </c>
      <c r="S182" s="174" t="str">
        <f t="shared" ca="1" si="24"/>
        <v/>
      </c>
      <c r="T182" s="174" t="str">
        <f ca="1">IF(B182="","",IF(ISERROR(MATCH($J182,SorP!$B$1:$B$6279,0)),"",INDIRECT("'SorP'!$A$"&amp;MATCH($S182&amp;$J182,SorP!C:C,0))))</f>
        <v/>
      </c>
      <c r="U182" s="194"/>
      <c r="V182" s="218" t="e">
        <f>IF(C182="",NA(),IF(OR(C182="Smelter not listed",C182="Smelter not yet identified"),MATCH($B182&amp;$D182,'Smelter Look-up'!$J:$J,0),MATCH($B182&amp;$C182,'Smelter Look-up'!$J:$J,0)))</f>
        <v>#N/A</v>
      </c>
      <c r="X182" s="219">
        <f t="shared" ca="1" si="25"/>
        <v>0</v>
      </c>
      <c r="AB182" s="220" t="str">
        <f t="shared" si="26"/>
        <v/>
      </c>
    </row>
    <row r="183" spans="1:28" s="219" customFormat="1" ht="20.25">
      <c r="A183" s="174"/>
      <c r="B183" s="175" t="str">
        <f>IF(LEN(A183)=0,"",INDEX('Smelter Look-up'!$A:$A,MATCH($A183,'Smelter Look-up'!$E:$E,0)))</f>
        <v/>
      </c>
      <c r="C183" s="179" t="str">
        <f>IF(LEN(A183)=0,"",INDEX('Smelter Look-up'!$C:$C,MATCH($A183,'Smelter Look-up'!$E:$E,0)))</f>
        <v/>
      </c>
      <c r="D183" s="222"/>
      <c r="E183" s="175" t="str">
        <f ca="1">IF(ISERROR($V183),"",OFFSET('Smelter Look-up'!$D$4,$V183-4,0)&amp;"")</f>
        <v/>
      </c>
      <c r="F183" s="175" t="str">
        <f ca="1">IF(ISERROR($V183),"",OFFSET('Smelter Look-up'!$E$4,$V183-4,0))</f>
        <v/>
      </c>
      <c r="G183" s="175" t="str">
        <f ca="1">IF(C183=$X$4,IF(ISERROR($V183),"Enter smelter details","RMI"),IF(ISERROR($V183),"",OFFSET('Smelter Look-up'!$F$4,$V183-4,0)))</f>
        <v/>
      </c>
      <c r="H183" s="176" t="str">
        <f ca="1">IF(ISERROR($V183),"",OFFSET('Smelter Look-up'!$G$4,$V183-4,0))</f>
        <v/>
      </c>
      <c r="I183" s="177" t="str">
        <f ca="1">IF(ISERROR($V183),"",OFFSET('Smelter Look-up'!$H$4,$V183-4,0))</f>
        <v/>
      </c>
      <c r="J183" s="177" t="str">
        <f ca="1">IF(ISERROR($V183),"",OFFSET('Smelter Look-up'!$I$4,$V183-4,0))</f>
        <v/>
      </c>
      <c r="K183" s="216"/>
      <c r="L183" s="216"/>
      <c r="M183" s="216"/>
      <c r="N183" s="216"/>
      <c r="O183" s="216"/>
      <c r="P183" s="178"/>
      <c r="Q183" s="217"/>
      <c r="R183" s="175" t="str">
        <f ca="1">IF(ISERROR($V183),"",OFFSET('Smelter Look-up'!$C$4,$V183-4,0)&amp;"")</f>
        <v/>
      </c>
      <c r="S183" s="174" t="str">
        <f t="shared" ca="1" si="24"/>
        <v/>
      </c>
      <c r="T183" s="174" t="str">
        <f ca="1">IF(B183="","",IF(ISERROR(MATCH($J183,SorP!$B$1:$B$6279,0)),"",INDIRECT("'SorP'!$A$"&amp;MATCH($S183&amp;$J183,SorP!C:C,0))))</f>
        <v/>
      </c>
      <c r="U183" s="194"/>
      <c r="V183" s="218" t="e">
        <f>IF(C183="",NA(),IF(OR(C183="Smelter not listed",C183="Smelter not yet identified"),MATCH($B183&amp;$D183,'Smelter Look-up'!$J:$J,0),MATCH($B183&amp;$C183,'Smelter Look-up'!$J:$J,0)))</f>
        <v>#N/A</v>
      </c>
      <c r="X183" s="219">
        <f t="shared" ca="1" si="25"/>
        <v>0</v>
      </c>
      <c r="AB183" s="220" t="str">
        <f t="shared" si="26"/>
        <v/>
      </c>
    </row>
    <row r="184" spans="1:28" s="219" customFormat="1" ht="20.25">
      <c r="A184" s="174"/>
      <c r="B184" s="175" t="str">
        <f>IF(LEN(A184)=0,"",INDEX('Smelter Look-up'!$A:$A,MATCH($A184,'Smelter Look-up'!$E:$E,0)))</f>
        <v/>
      </c>
      <c r="C184" s="179" t="str">
        <f>IF(LEN(A184)=0,"",INDEX('Smelter Look-up'!$C:$C,MATCH($A184,'Smelter Look-up'!$E:$E,0)))</f>
        <v/>
      </c>
      <c r="D184" s="222"/>
      <c r="E184" s="175" t="str">
        <f ca="1">IF(ISERROR($V184),"",OFFSET('Smelter Look-up'!$D$4,$V184-4,0)&amp;"")</f>
        <v/>
      </c>
      <c r="F184" s="175" t="str">
        <f ca="1">IF(ISERROR($V184),"",OFFSET('Smelter Look-up'!$E$4,$V184-4,0))</f>
        <v/>
      </c>
      <c r="G184" s="175" t="str">
        <f ca="1">IF(C184=$X$4,IF(ISERROR($V184),"Enter smelter details","RMI"),IF(ISERROR($V184),"",OFFSET('Smelter Look-up'!$F$4,$V184-4,0)))</f>
        <v/>
      </c>
      <c r="H184" s="176" t="str">
        <f ca="1">IF(ISERROR($V184),"",OFFSET('Smelter Look-up'!$G$4,$V184-4,0))</f>
        <v/>
      </c>
      <c r="I184" s="177" t="str">
        <f ca="1">IF(ISERROR($V184),"",OFFSET('Smelter Look-up'!$H$4,$V184-4,0))</f>
        <v/>
      </c>
      <c r="J184" s="177" t="str">
        <f ca="1">IF(ISERROR($V184),"",OFFSET('Smelter Look-up'!$I$4,$V184-4,0))</f>
        <v/>
      </c>
      <c r="K184" s="216"/>
      <c r="L184" s="216"/>
      <c r="M184" s="216"/>
      <c r="N184" s="216"/>
      <c r="O184" s="216"/>
      <c r="P184" s="178"/>
      <c r="Q184" s="217"/>
      <c r="R184" s="175" t="str">
        <f ca="1">IF(ISERROR($V184),"",OFFSET('Smelter Look-up'!$C$4,$V184-4,0)&amp;"")</f>
        <v/>
      </c>
      <c r="S184" s="174" t="str">
        <f t="shared" ca="1" si="24"/>
        <v/>
      </c>
      <c r="T184" s="174" t="str">
        <f ca="1">IF(B184="","",IF(ISERROR(MATCH($J184,SorP!$B$1:$B$6279,0)),"",INDIRECT("'SorP'!$A$"&amp;MATCH($S184&amp;$J184,SorP!C:C,0))))</f>
        <v/>
      </c>
      <c r="U184" s="194"/>
      <c r="V184" s="218" t="e">
        <f>IF(C184="",NA(),IF(OR(C184="Smelter not listed",C184="Smelter not yet identified"),MATCH($B184&amp;$D184,'Smelter Look-up'!$J:$J,0),MATCH($B184&amp;$C184,'Smelter Look-up'!$J:$J,0)))</f>
        <v>#N/A</v>
      </c>
      <c r="X184" s="219">
        <f t="shared" ca="1" si="25"/>
        <v>0</v>
      </c>
      <c r="AB184" s="220" t="str">
        <f t="shared" si="26"/>
        <v/>
      </c>
    </row>
    <row r="185" spans="1:28" s="219" customFormat="1" ht="20.25">
      <c r="A185" s="174"/>
      <c r="B185" s="175" t="str">
        <f>IF(LEN(A185)=0,"",INDEX('Smelter Look-up'!$A:$A,MATCH($A185,'Smelter Look-up'!$E:$E,0)))</f>
        <v/>
      </c>
      <c r="C185" s="179" t="str">
        <f>IF(LEN(A185)=0,"",INDEX('Smelter Look-up'!$C:$C,MATCH($A185,'Smelter Look-up'!$E:$E,0)))</f>
        <v/>
      </c>
      <c r="D185" s="222"/>
      <c r="E185" s="175" t="str">
        <f ca="1">IF(ISERROR($V185),"",OFFSET('Smelter Look-up'!$D$4,$V185-4,0)&amp;"")</f>
        <v/>
      </c>
      <c r="F185" s="175" t="str">
        <f ca="1">IF(ISERROR($V185),"",OFFSET('Smelter Look-up'!$E$4,$V185-4,0))</f>
        <v/>
      </c>
      <c r="G185" s="175" t="str">
        <f ca="1">IF(C185=$X$4,IF(ISERROR($V185),"Enter smelter details","RMI"),IF(ISERROR($V185),"",OFFSET('Smelter Look-up'!$F$4,$V185-4,0)))</f>
        <v/>
      </c>
      <c r="H185" s="176" t="str">
        <f ca="1">IF(ISERROR($V185),"",OFFSET('Smelter Look-up'!$G$4,$V185-4,0))</f>
        <v/>
      </c>
      <c r="I185" s="177" t="str">
        <f ca="1">IF(ISERROR($V185),"",OFFSET('Smelter Look-up'!$H$4,$V185-4,0))</f>
        <v/>
      </c>
      <c r="J185" s="177" t="str">
        <f ca="1">IF(ISERROR($V185),"",OFFSET('Smelter Look-up'!$I$4,$V185-4,0))</f>
        <v/>
      </c>
      <c r="K185" s="216"/>
      <c r="L185" s="216"/>
      <c r="M185" s="216"/>
      <c r="N185" s="216"/>
      <c r="O185" s="216"/>
      <c r="P185" s="178"/>
      <c r="Q185" s="217"/>
      <c r="R185" s="175" t="str">
        <f ca="1">IF(ISERROR($V185),"",OFFSET('Smelter Look-up'!$C$4,$V185-4,0)&amp;"")</f>
        <v/>
      </c>
      <c r="S185" s="174" t="str">
        <f t="shared" ca="1" si="24"/>
        <v/>
      </c>
      <c r="T185" s="174" t="str">
        <f ca="1">IF(B185="","",IF(ISERROR(MATCH($J185,SorP!$B$1:$B$6279,0)),"",INDIRECT("'SorP'!$A$"&amp;MATCH($S185&amp;$J185,SorP!C:C,0))))</f>
        <v/>
      </c>
      <c r="U185" s="194"/>
      <c r="V185" s="218" t="e">
        <f>IF(C185="",NA(),IF(OR(C185="Smelter not listed",C185="Smelter not yet identified"),MATCH($B185&amp;$D185,'Smelter Look-up'!$J:$J,0),MATCH($B185&amp;$C185,'Smelter Look-up'!$J:$J,0)))</f>
        <v>#N/A</v>
      </c>
      <c r="X185" s="219">
        <f t="shared" ca="1" si="25"/>
        <v>0</v>
      </c>
      <c r="AB185" s="220" t="str">
        <f t="shared" si="26"/>
        <v/>
      </c>
    </row>
    <row r="186" spans="1:28" s="219" customFormat="1" ht="20.25">
      <c r="A186" s="174"/>
      <c r="B186" s="175" t="str">
        <f>IF(LEN(A186)=0,"",INDEX('Smelter Look-up'!$A:$A,MATCH($A186,'Smelter Look-up'!$E:$E,0)))</f>
        <v/>
      </c>
      <c r="C186" s="179" t="str">
        <f>IF(LEN(A186)=0,"",INDEX('Smelter Look-up'!$C:$C,MATCH($A186,'Smelter Look-up'!$E:$E,0)))</f>
        <v/>
      </c>
      <c r="D186" s="222"/>
      <c r="E186" s="175" t="str">
        <f ca="1">IF(ISERROR($V186),"",OFFSET('Smelter Look-up'!$D$4,$V186-4,0)&amp;"")</f>
        <v/>
      </c>
      <c r="F186" s="175" t="str">
        <f ca="1">IF(ISERROR($V186),"",OFFSET('Smelter Look-up'!$E$4,$V186-4,0))</f>
        <v/>
      </c>
      <c r="G186" s="175" t="str">
        <f ca="1">IF(C186=$X$4,IF(ISERROR($V186),"Enter smelter details","RMI"),IF(ISERROR($V186),"",OFFSET('Smelter Look-up'!$F$4,$V186-4,0)))</f>
        <v/>
      </c>
      <c r="H186" s="176" t="str">
        <f ca="1">IF(ISERROR($V186),"",OFFSET('Smelter Look-up'!$G$4,$V186-4,0))</f>
        <v/>
      </c>
      <c r="I186" s="177" t="str">
        <f ca="1">IF(ISERROR($V186),"",OFFSET('Smelter Look-up'!$H$4,$V186-4,0))</f>
        <v/>
      </c>
      <c r="J186" s="177" t="str">
        <f ca="1">IF(ISERROR($V186),"",OFFSET('Smelter Look-up'!$I$4,$V186-4,0))</f>
        <v/>
      </c>
      <c r="K186" s="216"/>
      <c r="L186" s="216"/>
      <c r="M186" s="216"/>
      <c r="N186" s="216"/>
      <c r="O186" s="216"/>
      <c r="P186" s="178"/>
      <c r="Q186" s="217"/>
      <c r="R186" s="175" t="str">
        <f ca="1">IF(ISERROR($V186),"",OFFSET('Smelter Look-up'!$C$4,$V186-4,0)&amp;"")</f>
        <v/>
      </c>
      <c r="S186" s="174" t="str">
        <f t="shared" ca="1" si="24"/>
        <v/>
      </c>
      <c r="T186" s="174" t="str">
        <f ca="1">IF(B186="","",IF(ISERROR(MATCH($J186,SorP!$B$1:$B$6279,0)),"",INDIRECT("'SorP'!$A$"&amp;MATCH($S186&amp;$J186,SorP!C:C,0))))</f>
        <v/>
      </c>
      <c r="U186" s="194"/>
      <c r="V186" s="218" t="e">
        <f>IF(C186="",NA(),IF(OR(C186="Smelter not listed",C186="Smelter not yet identified"),MATCH($B186&amp;$D186,'Smelter Look-up'!$J:$J,0),MATCH($B186&amp;$C186,'Smelter Look-up'!$J:$J,0)))</f>
        <v>#N/A</v>
      </c>
      <c r="X186" s="219">
        <f t="shared" ca="1" si="25"/>
        <v>0</v>
      </c>
      <c r="AB186" s="220" t="str">
        <f t="shared" si="26"/>
        <v/>
      </c>
    </row>
    <row r="187" spans="1:28" s="219" customFormat="1" ht="20.25">
      <c r="A187" s="174"/>
      <c r="B187" s="175" t="str">
        <f>IF(LEN(A187)=0,"",INDEX('Smelter Look-up'!$A:$A,MATCH($A187,'Smelter Look-up'!$E:$E,0)))</f>
        <v/>
      </c>
      <c r="C187" s="179" t="str">
        <f>IF(LEN(A187)=0,"",INDEX('Smelter Look-up'!$C:$C,MATCH($A187,'Smelter Look-up'!$E:$E,0)))</f>
        <v/>
      </c>
      <c r="D187" s="222"/>
      <c r="E187" s="175" t="str">
        <f ca="1">IF(ISERROR($V187),"",OFFSET('Smelter Look-up'!$D$4,$V187-4,0)&amp;"")</f>
        <v/>
      </c>
      <c r="F187" s="175" t="str">
        <f ca="1">IF(ISERROR($V187),"",OFFSET('Smelter Look-up'!$E$4,$V187-4,0))</f>
        <v/>
      </c>
      <c r="G187" s="175" t="str">
        <f ca="1">IF(C187=$X$4,IF(ISERROR($V187),"Enter smelter details","RMI"),IF(ISERROR($V187),"",OFFSET('Smelter Look-up'!$F$4,$V187-4,0)))</f>
        <v/>
      </c>
      <c r="H187" s="176" t="str">
        <f ca="1">IF(ISERROR($V187),"",OFFSET('Smelter Look-up'!$G$4,$V187-4,0))</f>
        <v/>
      </c>
      <c r="I187" s="177" t="str">
        <f ca="1">IF(ISERROR($V187),"",OFFSET('Smelter Look-up'!$H$4,$V187-4,0))</f>
        <v/>
      </c>
      <c r="J187" s="177" t="str">
        <f ca="1">IF(ISERROR($V187),"",OFFSET('Smelter Look-up'!$I$4,$V187-4,0))</f>
        <v/>
      </c>
      <c r="K187" s="216"/>
      <c r="L187" s="216"/>
      <c r="M187" s="216"/>
      <c r="N187" s="216"/>
      <c r="O187" s="216"/>
      <c r="P187" s="178"/>
      <c r="Q187" s="217"/>
      <c r="R187" s="175" t="str">
        <f ca="1">IF(ISERROR($V187),"",OFFSET('Smelter Look-up'!$C$4,$V187-4,0)&amp;"")</f>
        <v/>
      </c>
      <c r="S187" s="174" t="str">
        <f t="shared" ca="1" si="24"/>
        <v/>
      </c>
      <c r="T187" s="174" t="str">
        <f ca="1">IF(B187="","",IF(ISERROR(MATCH($J187,SorP!$B$1:$B$6279,0)),"",INDIRECT("'SorP'!$A$"&amp;MATCH($S187&amp;$J187,SorP!C:C,0))))</f>
        <v/>
      </c>
      <c r="U187" s="194"/>
      <c r="V187" s="218" t="e">
        <f>IF(C187="",NA(),IF(OR(C187="Smelter not listed",C187="Smelter not yet identified"),MATCH($B187&amp;$D187,'Smelter Look-up'!$J:$J,0),MATCH($B187&amp;$C187,'Smelter Look-up'!$J:$J,0)))</f>
        <v>#N/A</v>
      </c>
      <c r="X187" s="219">
        <f t="shared" ca="1" si="25"/>
        <v>0</v>
      </c>
      <c r="AB187" s="220" t="str">
        <f t="shared" si="26"/>
        <v/>
      </c>
    </row>
    <row r="188" spans="1:28" s="219" customFormat="1" ht="20.25">
      <c r="A188" s="174"/>
      <c r="B188" s="175" t="str">
        <f>IF(LEN(A188)=0,"",INDEX('Smelter Look-up'!$A:$A,MATCH($A188,'Smelter Look-up'!$E:$E,0)))</f>
        <v/>
      </c>
      <c r="C188" s="179" t="str">
        <f>IF(LEN(A188)=0,"",INDEX('Smelter Look-up'!$C:$C,MATCH($A188,'Smelter Look-up'!$E:$E,0)))</f>
        <v/>
      </c>
      <c r="D188" s="222"/>
      <c r="E188" s="175" t="str">
        <f ca="1">IF(ISERROR($V188),"",OFFSET('Smelter Look-up'!$D$4,$V188-4,0)&amp;"")</f>
        <v/>
      </c>
      <c r="F188" s="175" t="str">
        <f ca="1">IF(ISERROR($V188),"",OFFSET('Smelter Look-up'!$E$4,$V188-4,0))</f>
        <v/>
      </c>
      <c r="G188" s="175" t="str">
        <f ca="1">IF(C188=$X$4,IF(ISERROR($V188),"Enter smelter details","RMI"),IF(ISERROR($V188),"",OFFSET('Smelter Look-up'!$F$4,$V188-4,0)))</f>
        <v/>
      </c>
      <c r="H188" s="176" t="str">
        <f ca="1">IF(ISERROR($V188),"",OFFSET('Smelter Look-up'!$G$4,$V188-4,0))</f>
        <v/>
      </c>
      <c r="I188" s="177" t="str">
        <f ca="1">IF(ISERROR($V188),"",OFFSET('Smelter Look-up'!$H$4,$V188-4,0))</f>
        <v/>
      </c>
      <c r="J188" s="177" t="str">
        <f ca="1">IF(ISERROR($V188),"",OFFSET('Smelter Look-up'!$I$4,$V188-4,0))</f>
        <v/>
      </c>
      <c r="K188" s="216"/>
      <c r="L188" s="216"/>
      <c r="M188" s="216"/>
      <c r="N188" s="216"/>
      <c r="O188" s="216"/>
      <c r="P188" s="178"/>
      <c r="Q188" s="217"/>
      <c r="R188" s="175" t="str">
        <f ca="1">IF(ISERROR($V188),"",OFFSET('Smelter Look-up'!$C$4,$V188-4,0)&amp;"")</f>
        <v/>
      </c>
      <c r="S188" s="174" t="str">
        <f t="shared" ca="1" si="24"/>
        <v/>
      </c>
      <c r="T188" s="174" t="str">
        <f ca="1">IF(B188="","",IF(ISERROR(MATCH($J188,SorP!$B$1:$B$6279,0)),"",INDIRECT("'SorP'!$A$"&amp;MATCH($S188&amp;$J188,SorP!C:C,0))))</f>
        <v/>
      </c>
      <c r="U188" s="194"/>
      <c r="V188" s="218" t="e">
        <f>IF(C188="",NA(),IF(OR(C188="Smelter not listed",C188="Smelter not yet identified"),MATCH($B188&amp;$D188,'Smelter Look-up'!$J:$J,0),MATCH($B188&amp;$C188,'Smelter Look-up'!$J:$J,0)))</f>
        <v>#N/A</v>
      </c>
      <c r="X188" s="219">
        <f t="shared" ca="1" si="25"/>
        <v>0</v>
      </c>
      <c r="AB188" s="220" t="str">
        <f t="shared" si="26"/>
        <v/>
      </c>
    </row>
    <row r="189" spans="1:28" s="219" customFormat="1" ht="20.25">
      <c r="A189" s="174"/>
      <c r="B189" s="175" t="str">
        <f>IF(LEN(A189)=0,"",INDEX('Smelter Look-up'!$A:$A,MATCH($A189,'Smelter Look-up'!$E:$E,0)))</f>
        <v/>
      </c>
      <c r="C189" s="179" t="str">
        <f>IF(LEN(A189)=0,"",INDEX('Smelter Look-up'!$C:$C,MATCH($A189,'Smelter Look-up'!$E:$E,0)))</f>
        <v/>
      </c>
      <c r="D189" s="222"/>
      <c r="E189" s="175" t="str">
        <f ca="1">IF(ISERROR($V189),"",OFFSET('Smelter Look-up'!$D$4,$V189-4,0)&amp;"")</f>
        <v/>
      </c>
      <c r="F189" s="175" t="str">
        <f ca="1">IF(ISERROR($V189),"",OFFSET('Smelter Look-up'!$E$4,$V189-4,0))</f>
        <v/>
      </c>
      <c r="G189" s="175" t="str">
        <f ca="1">IF(C189=$X$4,IF(ISERROR($V189),"Enter smelter details","RMI"),IF(ISERROR($V189),"",OFFSET('Smelter Look-up'!$F$4,$V189-4,0)))</f>
        <v/>
      </c>
      <c r="H189" s="176" t="str">
        <f ca="1">IF(ISERROR($V189),"",OFFSET('Smelter Look-up'!$G$4,$V189-4,0))</f>
        <v/>
      </c>
      <c r="I189" s="177" t="str">
        <f ca="1">IF(ISERROR($V189),"",OFFSET('Smelter Look-up'!$H$4,$V189-4,0))</f>
        <v/>
      </c>
      <c r="J189" s="177" t="str">
        <f ca="1">IF(ISERROR($V189),"",OFFSET('Smelter Look-up'!$I$4,$V189-4,0))</f>
        <v/>
      </c>
      <c r="K189" s="216"/>
      <c r="L189" s="216"/>
      <c r="M189" s="216"/>
      <c r="N189" s="216"/>
      <c r="O189" s="216"/>
      <c r="P189" s="178"/>
      <c r="Q189" s="217"/>
      <c r="R189" s="175" t="str">
        <f ca="1">IF(ISERROR($V189),"",OFFSET('Smelter Look-up'!$C$4,$V189-4,0)&amp;"")</f>
        <v/>
      </c>
      <c r="S189" s="174" t="str">
        <f t="shared" ca="1" si="24"/>
        <v/>
      </c>
      <c r="T189" s="174" t="str">
        <f ca="1">IF(B189="","",IF(ISERROR(MATCH($J189,SorP!$B$1:$B$6279,0)),"",INDIRECT("'SorP'!$A$"&amp;MATCH($S189&amp;$J189,SorP!C:C,0))))</f>
        <v/>
      </c>
      <c r="U189" s="194"/>
      <c r="V189" s="218" t="e">
        <f>IF(C189="",NA(),IF(OR(C189="Smelter not listed",C189="Smelter not yet identified"),MATCH($B189&amp;$D189,'Smelter Look-up'!$J:$J,0),MATCH($B189&amp;$C189,'Smelter Look-up'!$J:$J,0)))</f>
        <v>#N/A</v>
      </c>
      <c r="X189" s="219">
        <f t="shared" ca="1" si="25"/>
        <v>0</v>
      </c>
      <c r="AB189" s="220" t="str">
        <f t="shared" si="26"/>
        <v/>
      </c>
    </row>
    <row r="190" spans="1:28" s="219" customFormat="1" ht="20.25">
      <c r="A190" s="174"/>
      <c r="B190" s="175" t="str">
        <f>IF(LEN(A190)=0,"",INDEX('Smelter Look-up'!$A:$A,MATCH($A190,'Smelter Look-up'!$E:$E,0)))</f>
        <v/>
      </c>
      <c r="C190" s="179" t="str">
        <f>IF(LEN(A190)=0,"",INDEX('Smelter Look-up'!$C:$C,MATCH($A190,'Smelter Look-up'!$E:$E,0)))</f>
        <v/>
      </c>
      <c r="D190" s="222"/>
      <c r="E190" s="175" t="str">
        <f ca="1">IF(ISERROR($V190),"",OFFSET('Smelter Look-up'!$D$4,$V190-4,0)&amp;"")</f>
        <v/>
      </c>
      <c r="F190" s="175" t="str">
        <f ca="1">IF(ISERROR($V190),"",OFFSET('Smelter Look-up'!$E$4,$V190-4,0))</f>
        <v/>
      </c>
      <c r="G190" s="175" t="str">
        <f ca="1">IF(C190=$X$4,IF(ISERROR($V190),"Enter smelter details","RMI"),IF(ISERROR($V190),"",OFFSET('Smelter Look-up'!$F$4,$V190-4,0)))</f>
        <v/>
      </c>
      <c r="H190" s="176" t="str">
        <f ca="1">IF(ISERROR($V190),"",OFFSET('Smelter Look-up'!$G$4,$V190-4,0))</f>
        <v/>
      </c>
      <c r="I190" s="177" t="str">
        <f ca="1">IF(ISERROR($V190),"",OFFSET('Smelter Look-up'!$H$4,$V190-4,0))</f>
        <v/>
      </c>
      <c r="J190" s="177" t="str">
        <f ca="1">IF(ISERROR($V190),"",OFFSET('Smelter Look-up'!$I$4,$V190-4,0))</f>
        <v/>
      </c>
      <c r="K190" s="216"/>
      <c r="L190" s="216"/>
      <c r="M190" s="216"/>
      <c r="N190" s="216"/>
      <c r="O190" s="216"/>
      <c r="P190" s="178"/>
      <c r="Q190" s="217"/>
      <c r="R190" s="175" t="str">
        <f ca="1">IF(ISERROR($V190),"",OFFSET('Smelter Look-up'!$C$4,$V190-4,0)&amp;"")</f>
        <v/>
      </c>
      <c r="S190" s="174" t="str">
        <f t="shared" ca="1" si="24"/>
        <v/>
      </c>
      <c r="T190" s="174" t="str">
        <f ca="1">IF(B190="","",IF(ISERROR(MATCH($J190,SorP!$B$1:$B$6279,0)),"",INDIRECT("'SorP'!$A$"&amp;MATCH($S190&amp;$J190,SorP!C:C,0))))</f>
        <v/>
      </c>
      <c r="U190" s="194"/>
      <c r="V190" s="218" t="e">
        <f>IF(C190="",NA(),IF(OR(C190="Smelter not listed",C190="Smelter not yet identified"),MATCH($B190&amp;$D190,'Smelter Look-up'!$J:$J,0),MATCH($B190&amp;$C190,'Smelter Look-up'!$J:$J,0)))</f>
        <v>#N/A</v>
      </c>
      <c r="X190" s="219">
        <f t="shared" ca="1" si="25"/>
        <v>0</v>
      </c>
      <c r="AB190" s="220" t="str">
        <f t="shared" si="26"/>
        <v/>
      </c>
    </row>
    <row r="191" spans="1:28" s="219" customFormat="1" ht="20.25">
      <c r="A191" s="174"/>
      <c r="B191" s="175" t="str">
        <f>IF(LEN(A191)=0,"",INDEX('Smelter Look-up'!$A:$A,MATCH($A191,'Smelter Look-up'!$E:$E,0)))</f>
        <v/>
      </c>
      <c r="C191" s="179" t="str">
        <f>IF(LEN(A191)=0,"",INDEX('Smelter Look-up'!$C:$C,MATCH($A191,'Smelter Look-up'!$E:$E,0)))</f>
        <v/>
      </c>
      <c r="D191" s="222"/>
      <c r="E191" s="175" t="str">
        <f ca="1">IF(ISERROR($V191),"",OFFSET('Smelter Look-up'!$D$4,$V191-4,0)&amp;"")</f>
        <v/>
      </c>
      <c r="F191" s="175" t="str">
        <f ca="1">IF(ISERROR($V191),"",OFFSET('Smelter Look-up'!$E$4,$V191-4,0))</f>
        <v/>
      </c>
      <c r="G191" s="175" t="str">
        <f ca="1">IF(C191=$X$4,IF(ISERROR($V191),"Enter smelter details","RMI"),IF(ISERROR($V191),"",OFFSET('Smelter Look-up'!$F$4,$V191-4,0)))</f>
        <v/>
      </c>
      <c r="H191" s="176" t="str">
        <f ca="1">IF(ISERROR($V191),"",OFFSET('Smelter Look-up'!$G$4,$V191-4,0))</f>
        <v/>
      </c>
      <c r="I191" s="177" t="str">
        <f ca="1">IF(ISERROR($V191),"",OFFSET('Smelter Look-up'!$H$4,$V191-4,0))</f>
        <v/>
      </c>
      <c r="J191" s="177" t="str">
        <f ca="1">IF(ISERROR($V191),"",OFFSET('Smelter Look-up'!$I$4,$V191-4,0))</f>
        <v/>
      </c>
      <c r="K191" s="216"/>
      <c r="L191" s="216"/>
      <c r="M191" s="216"/>
      <c r="N191" s="216"/>
      <c r="O191" s="216"/>
      <c r="P191" s="178"/>
      <c r="Q191" s="217"/>
      <c r="R191" s="175" t="str">
        <f ca="1">IF(ISERROR($V191),"",OFFSET('Smelter Look-up'!$C$4,$V191-4,0)&amp;"")</f>
        <v/>
      </c>
      <c r="S191" s="174" t="str">
        <f t="shared" ca="1" si="24"/>
        <v/>
      </c>
      <c r="T191" s="174" t="str">
        <f ca="1">IF(B191="","",IF(ISERROR(MATCH($J191,SorP!$B$1:$B$6279,0)),"",INDIRECT("'SorP'!$A$"&amp;MATCH($S191&amp;$J191,SorP!C:C,0))))</f>
        <v/>
      </c>
      <c r="U191" s="194"/>
      <c r="V191" s="218" t="e">
        <f>IF(C191="",NA(),IF(OR(C191="Smelter not listed",C191="Smelter not yet identified"),MATCH($B191&amp;$D191,'Smelter Look-up'!$J:$J,0),MATCH($B191&amp;$C191,'Smelter Look-up'!$J:$J,0)))</f>
        <v>#N/A</v>
      </c>
      <c r="X191" s="219">
        <f t="shared" ca="1" si="25"/>
        <v>0</v>
      </c>
      <c r="AB191" s="220" t="str">
        <f t="shared" si="26"/>
        <v/>
      </c>
    </row>
    <row r="192" spans="1:28" s="219" customFormat="1" ht="20.25">
      <c r="A192" s="174"/>
      <c r="B192" s="175" t="str">
        <f>IF(LEN(A192)=0,"",INDEX('Smelter Look-up'!$A:$A,MATCH($A192,'Smelter Look-up'!$E:$E,0)))</f>
        <v/>
      </c>
      <c r="C192" s="179" t="str">
        <f>IF(LEN(A192)=0,"",INDEX('Smelter Look-up'!$C:$C,MATCH($A192,'Smelter Look-up'!$E:$E,0)))</f>
        <v/>
      </c>
      <c r="D192" s="222"/>
      <c r="E192" s="175" t="str">
        <f ca="1">IF(ISERROR($V192),"",OFFSET('Smelter Look-up'!$D$4,$V192-4,0)&amp;"")</f>
        <v/>
      </c>
      <c r="F192" s="175" t="str">
        <f ca="1">IF(ISERROR($V192),"",OFFSET('Smelter Look-up'!$E$4,$V192-4,0))</f>
        <v/>
      </c>
      <c r="G192" s="175" t="str">
        <f ca="1">IF(C192=$X$4,IF(ISERROR($V192),"Enter smelter details","RMI"),IF(ISERROR($V192),"",OFFSET('Smelter Look-up'!$F$4,$V192-4,0)))</f>
        <v/>
      </c>
      <c r="H192" s="176" t="str">
        <f ca="1">IF(ISERROR($V192),"",OFFSET('Smelter Look-up'!$G$4,$V192-4,0))</f>
        <v/>
      </c>
      <c r="I192" s="177" t="str">
        <f ca="1">IF(ISERROR($V192),"",OFFSET('Smelter Look-up'!$H$4,$V192-4,0))</f>
        <v/>
      </c>
      <c r="J192" s="177" t="str">
        <f ca="1">IF(ISERROR($V192),"",OFFSET('Smelter Look-up'!$I$4,$V192-4,0))</f>
        <v/>
      </c>
      <c r="K192" s="216"/>
      <c r="L192" s="216"/>
      <c r="M192" s="216"/>
      <c r="N192" s="216"/>
      <c r="O192" s="216"/>
      <c r="P192" s="178"/>
      <c r="Q192" s="217"/>
      <c r="R192" s="175" t="str">
        <f ca="1">IF(ISERROR($V192),"",OFFSET('Smelter Look-up'!$C$4,$V192-4,0)&amp;"")</f>
        <v/>
      </c>
      <c r="S192" s="174" t="str">
        <f t="shared" ca="1" si="24"/>
        <v/>
      </c>
      <c r="T192" s="174" t="str">
        <f ca="1">IF(B192="","",IF(ISERROR(MATCH($J192,SorP!$B$1:$B$6279,0)),"",INDIRECT("'SorP'!$A$"&amp;MATCH($S192&amp;$J192,SorP!C:C,0))))</f>
        <v/>
      </c>
      <c r="U192" s="194"/>
      <c r="V192" s="218" t="e">
        <f>IF(C192="",NA(),IF(OR(C192="Smelter not listed",C192="Smelter not yet identified"),MATCH($B192&amp;$D192,'Smelter Look-up'!$J:$J,0),MATCH($B192&amp;$C192,'Smelter Look-up'!$J:$J,0)))</f>
        <v>#N/A</v>
      </c>
      <c r="X192" s="219">
        <f t="shared" ca="1" si="25"/>
        <v>0</v>
      </c>
      <c r="AB192" s="220" t="str">
        <f t="shared" si="26"/>
        <v/>
      </c>
    </row>
    <row r="193" spans="1:28" s="219" customFormat="1" ht="20.25">
      <c r="A193" s="174"/>
      <c r="B193" s="175" t="str">
        <f>IF(LEN(A193)=0,"",INDEX('Smelter Look-up'!$A:$A,MATCH($A193,'Smelter Look-up'!$E:$E,0)))</f>
        <v/>
      </c>
      <c r="C193" s="179" t="str">
        <f>IF(LEN(A193)=0,"",INDEX('Smelter Look-up'!$C:$C,MATCH($A193,'Smelter Look-up'!$E:$E,0)))</f>
        <v/>
      </c>
      <c r="D193" s="222"/>
      <c r="E193" s="175" t="str">
        <f ca="1">IF(ISERROR($V193),"",OFFSET('Smelter Look-up'!$D$4,$V193-4,0)&amp;"")</f>
        <v/>
      </c>
      <c r="F193" s="175" t="str">
        <f ca="1">IF(ISERROR($V193),"",OFFSET('Smelter Look-up'!$E$4,$V193-4,0))</f>
        <v/>
      </c>
      <c r="G193" s="175" t="str">
        <f ca="1">IF(C193=$X$4,IF(ISERROR($V193),"Enter smelter details","RMI"),IF(ISERROR($V193),"",OFFSET('Smelter Look-up'!$F$4,$V193-4,0)))</f>
        <v/>
      </c>
      <c r="H193" s="176" t="str">
        <f ca="1">IF(ISERROR($V193),"",OFFSET('Smelter Look-up'!$G$4,$V193-4,0))</f>
        <v/>
      </c>
      <c r="I193" s="177" t="str">
        <f ca="1">IF(ISERROR($V193),"",OFFSET('Smelter Look-up'!$H$4,$V193-4,0))</f>
        <v/>
      </c>
      <c r="J193" s="177" t="str">
        <f ca="1">IF(ISERROR($V193),"",OFFSET('Smelter Look-up'!$I$4,$V193-4,0))</f>
        <v/>
      </c>
      <c r="K193" s="216"/>
      <c r="L193" s="216"/>
      <c r="M193" s="216"/>
      <c r="N193" s="216"/>
      <c r="O193" s="216"/>
      <c r="P193" s="178"/>
      <c r="Q193" s="217"/>
      <c r="R193" s="175" t="str">
        <f ca="1">IF(ISERROR($V193),"",OFFSET('Smelter Look-up'!$C$4,$V193-4,0)&amp;"")</f>
        <v/>
      </c>
      <c r="S193" s="174" t="str">
        <f t="shared" ca="1" si="24"/>
        <v/>
      </c>
      <c r="T193" s="174" t="str">
        <f ca="1">IF(B193="","",IF(ISERROR(MATCH($J193,SorP!$B$1:$B$6279,0)),"",INDIRECT("'SorP'!$A$"&amp;MATCH($S193&amp;$J193,SorP!C:C,0))))</f>
        <v/>
      </c>
      <c r="U193" s="194"/>
      <c r="V193" s="218" t="e">
        <f>IF(C193="",NA(),IF(OR(C193="Smelter not listed",C193="Smelter not yet identified"),MATCH($B193&amp;$D193,'Smelter Look-up'!$J:$J,0),MATCH($B193&amp;$C193,'Smelter Look-up'!$J:$J,0)))</f>
        <v>#N/A</v>
      </c>
      <c r="X193" s="219">
        <f t="shared" ca="1" si="25"/>
        <v>0</v>
      </c>
      <c r="AB193" s="220" t="str">
        <f t="shared" si="26"/>
        <v/>
      </c>
    </row>
    <row r="194" spans="1:28" s="219" customFormat="1" ht="20.25">
      <c r="A194" s="174"/>
      <c r="B194" s="175" t="str">
        <f>IF(LEN(A194)=0,"",INDEX('Smelter Look-up'!$A:$A,MATCH($A194,'Smelter Look-up'!$E:$E,0)))</f>
        <v/>
      </c>
      <c r="C194" s="179" t="str">
        <f>IF(LEN(A194)=0,"",INDEX('Smelter Look-up'!$C:$C,MATCH($A194,'Smelter Look-up'!$E:$E,0)))</f>
        <v/>
      </c>
      <c r="D194" s="222"/>
      <c r="E194" s="175" t="str">
        <f ca="1">IF(ISERROR($V194),"",OFFSET('Smelter Look-up'!$D$4,$V194-4,0)&amp;"")</f>
        <v/>
      </c>
      <c r="F194" s="175" t="str">
        <f ca="1">IF(ISERROR($V194),"",OFFSET('Smelter Look-up'!$E$4,$V194-4,0))</f>
        <v/>
      </c>
      <c r="G194" s="175" t="str">
        <f ca="1">IF(C194=$X$4,IF(ISERROR($V194),"Enter smelter details","RMI"),IF(ISERROR($V194),"",OFFSET('Smelter Look-up'!$F$4,$V194-4,0)))</f>
        <v/>
      </c>
      <c r="H194" s="176" t="str">
        <f ca="1">IF(ISERROR($V194),"",OFFSET('Smelter Look-up'!$G$4,$V194-4,0))</f>
        <v/>
      </c>
      <c r="I194" s="177" t="str">
        <f ca="1">IF(ISERROR($V194),"",OFFSET('Smelter Look-up'!$H$4,$V194-4,0))</f>
        <v/>
      </c>
      <c r="J194" s="177" t="str">
        <f ca="1">IF(ISERROR($V194),"",OFFSET('Smelter Look-up'!$I$4,$V194-4,0))</f>
        <v/>
      </c>
      <c r="K194" s="216"/>
      <c r="L194" s="216"/>
      <c r="M194" s="216"/>
      <c r="N194" s="216"/>
      <c r="O194" s="216"/>
      <c r="P194" s="178"/>
      <c r="Q194" s="217"/>
      <c r="R194" s="175" t="str">
        <f ca="1">IF(ISERROR($V194),"",OFFSET('Smelter Look-up'!$C$4,$V194-4,0)&amp;"")</f>
        <v/>
      </c>
      <c r="S194" s="174" t="str">
        <f t="shared" ca="1" si="24"/>
        <v/>
      </c>
      <c r="T194" s="174" t="str">
        <f ca="1">IF(B194="","",IF(ISERROR(MATCH($J194,SorP!$B$1:$B$6279,0)),"",INDIRECT("'SorP'!$A$"&amp;MATCH($S194&amp;$J194,SorP!C:C,0))))</f>
        <v/>
      </c>
      <c r="U194" s="194"/>
      <c r="V194" s="218" t="e">
        <f>IF(C194="",NA(),IF(OR(C194="Smelter not listed",C194="Smelter not yet identified"),MATCH($B194&amp;$D194,'Smelter Look-up'!$J:$J,0),MATCH($B194&amp;$C194,'Smelter Look-up'!$J:$J,0)))</f>
        <v>#N/A</v>
      </c>
      <c r="X194" s="219">
        <f t="shared" ca="1" si="25"/>
        <v>0</v>
      </c>
      <c r="AB194" s="220" t="str">
        <f t="shared" si="26"/>
        <v/>
      </c>
    </row>
    <row r="195" spans="1:28" s="219" customFormat="1" ht="20.25">
      <c r="A195" s="174"/>
      <c r="B195" s="175" t="str">
        <f>IF(LEN(A195)=0,"",INDEX('Smelter Look-up'!$A:$A,MATCH($A195,'Smelter Look-up'!$E:$E,0)))</f>
        <v/>
      </c>
      <c r="C195" s="179" t="str">
        <f>IF(LEN(A195)=0,"",INDEX('Smelter Look-up'!$C:$C,MATCH($A195,'Smelter Look-up'!$E:$E,0)))</f>
        <v/>
      </c>
      <c r="D195" s="222"/>
      <c r="E195" s="175" t="str">
        <f ca="1">IF(ISERROR($V195),"",OFFSET('Smelter Look-up'!$D$4,$V195-4,0)&amp;"")</f>
        <v/>
      </c>
      <c r="F195" s="175" t="str">
        <f ca="1">IF(ISERROR($V195),"",OFFSET('Smelter Look-up'!$E$4,$V195-4,0))</f>
        <v/>
      </c>
      <c r="G195" s="175" t="str">
        <f ca="1">IF(C195=$X$4,IF(ISERROR($V195),"Enter smelter details","RMI"),IF(ISERROR($V195),"",OFFSET('Smelter Look-up'!$F$4,$V195-4,0)))</f>
        <v/>
      </c>
      <c r="H195" s="176" t="str">
        <f ca="1">IF(ISERROR($V195),"",OFFSET('Smelter Look-up'!$G$4,$V195-4,0))</f>
        <v/>
      </c>
      <c r="I195" s="177" t="str">
        <f ca="1">IF(ISERROR($V195),"",OFFSET('Smelter Look-up'!$H$4,$V195-4,0))</f>
        <v/>
      </c>
      <c r="J195" s="177" t="str">
        <f ca="1">IF(ISERROR($V195),"",OFFSET('Smelter Look-up'!$I$4,$V195-4,0))</f>
        <v/>
      </c>
      <c r="K195" s="216"/>
      <c r="L195" s="216"/>
      <c r="M195" s="216"/>
      <c r="N195" s="216"/>
      <c r="O195" s="216"/>
      <c r="P195" s="178"/>
      <c r="Q195" s="217"/>
      <c r="R195" s="175" t="str">
        <f ca="1">IF(ISERROR($V195),"",OFFSET('Smelter Look-up'!$C$4,$V195-4,0)&amp;"")</f>
        <v/>
      </c>
      <c r="S195" s="174" t="str">
        <f t="shared" ca="1" si="24"/>
        <v/>
      </c>
      <c r="T195" s="174" t="str">
        <f ca="1">IF(B195="","",IF(ISERROR(MATCH($J195,SorP!$B$1:$B$6279,0)),"",INDIRECT("'SorP'!$A$"&amp;MATCH($S195&amp;$J195,SorP!C:C,0))))</f>
        <v/>
      </c>
      <c r="U195" s="194"/>
      <c r="V195" s="218" t="e">
        <f>IF(C195="",NA(),IF(OR(C195="Smelter not listed",C195="Smelter not yet identified"),MATCH($B195&amp;$D195,'Smelter Look-up'!$J:$J,0),MATCH($B195&amp;$C195,'Smelter Look-up'!$J:$J,0)))</f>
        <v>#N/A</v>
      </c>
      <c r="X195" s="219">
        <f t="shared" ca="1" si="25"/>
        <v>0</v>
      </c>
      <c r="AB195" s="220" t="str">
        <f t="shared" si="26"/>
        <v/>
      </c>
    </row>
    <row r="196" spans="1:28" s="219" customFormat="1" ht="20.25">
      <c r="A196" s="174"/>
      <c r="B196" s="175" t="str">
        <f>IF(LEN(A196)=0,"",INDEX('Smelter Look-up'!$A:$A,MATCH($A196,'Smelter Look-up'!$E:$E,0)))</f>
        <v/>
      </c>
      <c r="C196" s="179" t="str">
        <f>IF(LEN(A196)=0,"",INDEX('Smelter Look-up'!$C:$C,MATCH($A196,'Smelter Look-up'!$E:$E,0)))</f>
        <v/>
      </c>
      <c r="D196" s="222"/>
      <c r="E196" s="175" t="str">
        <f ca="1">IF(ISERROR($V196),"",OFFSET('Smelter Look-up'!$D$4,$V196-4,0)&amp;"")</f>
        <v/>
      </c>
      <c r="F196" s="175" t="str">
        <f ca="1">IF(ISERROR($V196),"",OFFSET('Smelter Look-up'!$E$4,$V196-4,0))</f>
        <v/>
      </c>
      <c r="G196" s="175" t="str">
        <f ca="1">IF(C196=$X$4,IF(ISERROR($V196),"Enter smelter details","RMI"),IF(ISERROR($V196),"",OFFSET('Smelter Look-up'!$F$4,$V196-4,0)))</f>
        <v/>
      </c>
      <c r="H196" s="176" t="str">
        <f ca="1">IF(ISERROR($V196),"",OFFSET('Smelter Look-up'!$G$4,$V196-4,0))</f>
        <v/>
      </c>
      <c r="I196" s="177" t="str">
        <f ca="1">IF(ISERROR($V196),"",OFFSET('Smelter Look-up'!$H$4,$V196-4,0))</f>
        <v/>
      </c>
      <c r="J196" s="177" t="str">
        <f ca="1">IF(ISERROR($V196),"",OFFSET('Smelter Look-up'!$I$4,$V196-4,0))</f>
        <v/>
      </c>
      <c r="K196" s="216"/>
      <c r="L196" s="216"/>
      <c r="M196" s="216"/>
      <c r="N196" s="216"/>
      <c r="O196" s="216"/>
      <c r="P196" s="178"/>
      <c r="Q196" s="217"/>
      <c r="R196" s="175" t="str">
        <f ca="1">IF(ISERROR($V196),"",OFFSET('Smelter Look-up'!$C$4,$V196-4,0)&amp;"")</f>
        <v/>
      </c>
      <c r="S196" s="174" t="str">
        <f t="shared" ca="1" si="24"/>
        <v/>
      </c>
      <c r="T196" s="174" t="str">
        <f ca="1">IF(B196="","",IF(ISERROR(MATCH($J196,SorP!$B$1:$B$6279,0)),"",INDIRECT("'SorP'!$A$"&amp;MATCH($S196&amp;$J196,SorP!C:C,0))))</f>
        <v/>
      </c>
      <c r="U196" s="194"/>
      <c r="V196" s="218" t="e">
        <f>IF(C196="",NA(),IF(OR(C196="Smelter not listed",C196="Smelter not yet identified"),MATCH($B196&amp;$D196,'Smelter Look-up'!$J:$J,0),MATCH($B196&amp;$C196,'Smelter Look-up'!$J:$J,0)))</f>
        <v>#N/A</v>
      </c>
      <c r="X196" s="219">
        <f t="shared" ca="1" si="25"/>
        <v>0</v>
      </c>
      <c r="AB196" s="220" t="str">
        <f t="shared" si="26"/>
        <v/>
      </c>
    </row>
    <row r="197" spans="1:28" s="219" customFormat="1" ht="20.25">
      <c r="A197" s="174"/>
      <c r="B197" s="175" t="str">
        <f>IF(LEN(A197)=0,"",INDEX('Smelter Look-up'!$A:$A,MATCH($A197,'Smelter Look-up'!$E:$E,0)))</f>
        <v/>
      </c>
      <c r="C197" s="179" t="str">
        <f>IF(LEN(A197)=0,"",INDEX('Smelter Look-up'!$C:$C,MATCH($A197,'Smelter Look-up'!$E:$E,0)))</f>
        <v/>
      </c>
      <c r="D197" s="222"/>
      <c r="E197" s="175" t="str">
        <f ca="1">IF(ISERROR($V197),"",OFFSET('Smelter Look-up'!$D$4,$V197-4,0)&amp;"")</f>
        <v/>
      </c>
      <c r="F197" s="175" t="str">
        <f ca="1">IF(ISERROR($V197),"",OFFSET('Smelter Look-up'!$E$4,$V197-4,0))</f>
        <v/>
      </c>
      <c r="G197" s="175" t="str">
        <f ca="1">IF(C197=$X$4,IF(ISERROR($V197),"Enter smelter details","RMI"),IF(ISERROR($V197),"",OFFSET('Smelter Look-up'!$F$4,$V197-4,0)))</f>
        <v/>
      </c>
      <c r="H197" s="176" t="str">
        <f ca="1">IF(ISERROR($V197),"",OFFSET('Smelter Look-up'!$G$4,$V197-4,0))</f>
        <v/>
      </c>
      <c r="I197" s="177" t="str">
        <f ca="1">IF(ISERROR($V197),"",OFFSET('Smelter Look-up'!$H$4,$V197-4,0))</f>
        <v/>
      </c>
      <c r="J197" s="177" t="str">
        <f ca="1">IF(ISERROR($V197),"",OFFSET('Smelter Look-up'!$I$4,$V197-4,0))</f>
        <v/>
      </c>
      <c r="K197" s="216"/>
      <c r="L197" s="216"/>
      <c r="M197" s="216"/>
      <c r="N197" s="216"/>
      <c r="O197" s="216"/>
      <c r="P197" s="178"/>
      <c r="Q197" s="217"/>
      <c r="R197" s="175" t="str">
        <f ca="1">IF(ISERROR($V197),"",OFFSET('Smelter Look-up'!$C$4,$V197-4,0)&amp;"")</f>
        <v/>
      </c>
      <c r="S197" s="174" t="str">
        <f t="shared" ref="S197" ca="1" si="27">IF(B197="","",IF(ISERROR(MATCH($E197,CL,0)),"Unknown",INDIRECT("'C'!$A$"&amp;MATCH($E197,CL,0)+1)))</f>
        <v/>
      </c>
      <c r="T197" s="174" t="str">
        <f ca="1">IF(B197="","",IF(ISERROR(MATCH($J197,SorP!$B$1:$B$6279,0)),"",INDIRECT("'SorP'!$A$"&amp;MATCH($S197&amp;$J197,SorP!C:C,0))))</f>
        <v/>
      </c>
      <c r="U197" s="194"/>
      <c r="V197" s="218" t="e">
        <f>IF(C197="",NA(),IF(OR(C197="Smelter not listed",C197="Smelter not yet identified"),MATCH($B197&amp;$D197,'Smelter Look-up'!$J:$J,0),MATCH($B197&amp;$C197,'Smelter Look-up'!$J:$J,0)))</f>
        <v>#N/A</v>
      </c>
      <c r="X197" s="219">
        <f t="shared" ref="X197" ca="1" si="28">IF(AND(C197="Smelter not listed",OR(LEN(D197)=0,LEN(E197)=0)),1,0)</f>
        <v>0</v>
      </c>
      <c r="AB197" s="220" t="str">
        <f t="shared" ref="AB197" si="29">B197&amp;C197</f>
        <v/>
      </c>
    </row>
    <row r="198" spans="1:28" s="219" customFormat="1" ht="20.25">
      <c r="A198" s="174"/>
      <c r="B198" s="175" t="str">
        <f>IF(LEN(A198)=0,"",INDEX('Smelter Look-up'!$A:$A,MATCH($A198,'Smelter Look-up'!$E:$E,0)))</f>
        <v/>
      </c>
      <c r="C198" s="179" t="str">
        <f>IF(LEN(A198)=0,"",INDEX('Smelter Look-up'!$C:$C,MATCH($A198,'Smelter Look-up'!$E:$E,0)))</f>
        <v/>
      </c>
      <c r="D198" s="222"/>
      <c r="E198" s="175" t="str">
        <f ca="1">IF(ISERROR($V198),"",OFFSET('Smelter Look-up'!$D$4,$V198-4,0)&amp;"")</f>
        <v/>
      </c>
      <c r="F198" s="175" t="str">
        <f ca="1">IF(ISERROR($V198),"",OFFSET('Smelter Look-up'!$E$4,$V198-4,0))</f>
        <v/>
      </c>
      <c r="G198" s="175" t="str">
        <f ca="1">IF(C198=$X$4,IF(ISERROR($V198),"Enter smelter details","RMI"),IF(ISERROR($V198),"",OFFSET('Smelter Look-up'!$F$4,$V198-4,0)))</f>
        <v/>
      </c>
      <c r="H198" s="176" t="str">
        <f ca="1">IF(ISERROR($V198),"",OFFSET('Smelter Look-up'!$G$4,$V198-4,0))</f>
        <v/>
      </c>
      <c r="I198" s="177" t="str">
        <f ca="1">IF(ISERROR($V198),"",OFFSET('Smelter Look-up'!$H$4,$V198-4,0))</f>
        <v/>
      </c>
      <c r="J198" s="177" t="str">
        <f ca="1">IF(ISERROR($V198),"",OFFSET('Smelter Look-up'!$I$4,$V198-4,0))</f>
        <v/>
      </c>
      <c r="K198" s="216"/>
      <c r="L198" s="216"/>
      <c r="M198" s="216"/>
      <c r="N198" s="216"/>
      <c r="O198" s="216"/>
      <c r="P198" s="178"/>
      <c r="Q198" s="217"/>
      <c r="R198" s="175" t="str">
        <f ca="1">IF(ISERROR($V198),"",OFFSET('Smelter Look-up'!$C$4,$V198-4,0)&amp;"")</f>
        <v/>
      </c>
      <c r="S198" s="174" t="str">
        <f t="shared" ref="S198:S229" ca="1" si="30">IF(B198="","",IF(ISERROR(MATCH($E198,CL,0)),"Unknown",INDIRECT("'C'!$A$"&amp;MATCH($E198,CL,0)+1)))</f>
        <v/>
      </c>
      <c r="T198" s="174" t="str">
        <f ca="1">IF(B198="","",IF(ISERROR(MATCH($J198,SorP!$B$1:$B$6279,0)),"",INDIRECT("'SorP'!$A$"&amp;MATCH($S198&amp;$J198,SorP!C:C,0))))</f>
        <v/>
      </c>
      <c r="U198" s="194"/>
      <c r="V198" s="218" t="e">
        <f>IF(C198="",NA(),IF(OR(C198="Smelter not listed",C198="Smelter not yet identified"),MATCH($B198&amp;$D198,'Smelter Look-up'!$J:$J,0),MATCH($B198&amp;$C198,'Smelter Look-up'!$J:$J,0)))</f>
        <v>#N/A</v>
      </c>
      <c r="X198" s="219">
        <f t="shared" ref="X198:X229" ca="1" si="31">IF(AND(C198="Smelter not listed",OR(LEN(D198)=0,LEN(E198)=0)),1,0)</f>
        <v>0</v>
      </c>
      <c r="AB198" s="220" t="str">
        <f t="shared" ref="AB198:AB229" si="32">B198&amp;C198</f>
        <v/>
      </c>
    </row>
    <row r="199" spans="1:28" s="219" customFormat="1" ht="20.25">
      <c r="A199" s="174"/>
      <c r="B199" s="175" t="str">
        <f>IF(LEN(A199)=0,"",INDEX('Smelter Look-up'!$A:$A,MATCH($A199,'Smelter Look-up'!$E:$E,0)))</f>
        <v/>
      </c>
      <c r="C199" s="179" t="str">
        <f>IF(LEN(A199)=0,"",INDEX('Smelter Look-up'!$C:$C,MATCH($A199,'Smelter Look-up'!$E:$E,0)))</f>
        <v/>
      </c>
      <c r="D199" s="222"/>
      <c r="E199" s="175" t="str">
        <f ca="1">IF(ISERROR($V199),"",OFFSET('Smelter Look-up'!$D$4,$V199-4,0)&amp;"")</f>
        <v/>
      </c>
      <c r="F199" s="175" t="str">
        <f ca="1">IF(ISERROR($V199),"",OFFSET('Smelter Look-up'!$E$4,$V199-4,0))</f>
        <v/>
      </c>
      <c r="G199" s="175" t="str">
        <f ca="1">IF(C199=$X$4,IF(ISERROR($V199),"Enter smelter details","RMI"),IF(ISERROR($V199),"",OFFSET('Smelter Look-up'!$F$4,$V199-4,0)))</f>
        <v/>
      </c>
      <c r="H199" s="176" t="str">
        <f ca="1">IF(ISERROR($V199),"",OFFSET('Smelter Look-up'!$G$4,$V199-4,0))</f>
        <v/>
      </c>
      <c r="I199" s="177" t="str">
        <f ca="1">IF(ISERROR($V199),"",OFFSET('Smelter Look-up'!$H$4,$V199-4,0))</f>
        <v/>
      </c>
      <c r="J199" s="177" t="str">
        <f ca="1">IF(ISERROR($V199),"",OFFSET('Smelter Look-up'!$I$4,$V199-4,0))</f>
        <v/>
      </c>
      <c r="K199" s="216"/>
      <c r="L199" s="216"/>
      <c r="M199" s="216"/>
      <c r="N199" s="216"/>
      <c r="O199" s="216"/>
      <c r="P199" s="178"/>
      <c r="Q199" s="217"/>
      <c r="R199" s="175" t="str">
        <f ca="1">IF(ISERROR($V199),"",OFFSET('Smelter Look-up'!$C$4,$V199-4,0)&amp;"")</f>
        <v/>
      </c>
      <c r="S199" s="174" t="str">
        <f t="shared" ca="1" si="30"/>
        <v/>
      </c>
      <c r="T199" s="174" t="str">
        <f ca="1">IF(B199="","",IF(ISERROR(MATCH($J199,SorP!$B$1:$B$6279,0)),"",INDIRECT("'SorP'!$A$"&amp;MATCH($S199&amp;$J199,SorP!C:C,0))))</f>
        <v/>
      </c>
      <c r="U199" s="194"/>
      <c r="V199" s="218" t="e">
        <f>IF(C199="",NA(),IF(OR(C199="Smelter not listed",C199="Smelter not yet identified"),MATCH($B199&amp;$D199,'Smelter Look-up'!$J:$J,0),MATCH($B199&amp;$C199,'Smelter Look-up'!$J:$J,0)))</f>
        <v>#N/A</v>
      </c>
      <c r="X199" s="219">
        <f t="shared" ca="1" si="31"/>
        <v>0</v>
      </c>
      <c r="AB199" s="220" t="str">
        <f t="shared" si="32"/>
        <v/>
      </c>
    </row>
    <row r="200" spans="1:28" s="219" customFormat="1" ht="20.25">
      <c r="A200" s="174"/>
      <c r="B200" s="175" t="str">
        <f>IF(LEN(A200)=0,"",INDEX('Smelter Look-up'!$A:$A,MATCH($A200,'Smelter Look-up'!$E:$E,0)))</f>
        <v/>
      </c>
      <c r="C200" s="179" t="str">
        <f>IF(LEN(A200)=0,"",INDEX('Smelter Look-up'!$C:$C,MATCH($A200,'Smelter Look-up'!$E:$E,0)))</f>
        <v/>
      </c>
      <c r="D200" s="222"/>
      <c r="E200" s="175" t="str">
        <f ca="1">IF(ISERROR($V200),"",OFFSET('Smelter Look-up'!$D$4,$V200-4,0)&amp;"")</f>
        <v/>
      </c>
      <c r="F200" s="175" t="str">
        <f ca="1">IF(ISERROR($V200),"",OFFSET('Smelter Look-up'!$E$4,$V200-4,0))</f>
        <v/>
      </c>
      <c r="G200" s="175" t="str">
        <f ca="1">IF(C200=$X$4,IF(ISERROR($V200),"Enter smelter details","RMI"),IF(ISERROR($V200),"",OFFSET('Smelter Look-up'!$F$4,$V200-4,0)))</f>
        <v/>
      </c>
      <c r="H200" s="176" t="str">
        <f ca="1">IF(ISERROR($V200),"",OFFSET('Smelter Look-up'!$G$4,$V200-4,0))</f>
        <v/>
      </c>
      <c r="I200" s="177" t="str">
        <f ca="1">IF(ISERROR($V200),"",OFFSET('Smelter Look-up'!$H$4,$V200-4,0))</f>
        <v/>
      </c>
      <c r="J200" s="177" t="str">
        <f ca="1">IF(ISERROR($V200),"",OFFSET('Smelter Look-up'!$I$4,$V200-4,0))</f>
        <v/>
      </c>
      <c r="K200" s="216"/>
      <c r="L200" s="216"/>
      <c r="M200" s="216"/>
      <c r="N200" s="216"/>
      <c r="O200" s="216"/>
      <c r="P200" s="178"/>
      <c r="Q200" s="217"/>
      <c r="R200" s="175" t="str">
        <f ca="1">IF(ISERROR($V200),"",OFFSET('Smelter Look-up'!$C$4,$V200-4,0)&amp;"")</f>
        <v/>
      </c>
      <c r="S200" s="174" t="str">
        <f t="shared" ca="1" si="30"/>
        <v/>
      </c>
      <c r="T200" s="174" t="str">
        <f ca="1">IF(B200="","",IF(ISERROR(MATCH($J200,SorP!$B$1:$B$6279,0)),"",INDIRECT("'SorP'!$A$"&amp;MATCH($S200&amp;$J200,SorP!C:C,0))))</f>
        <v/>
      </c>
      <c r="U200" s="194"/>
      <c r="V200" s="218" t="e">
        <f>IF(C200="",NA(),IF(OR(C200="Smelter not listed",C200="Smelter not yet identified"),MATCH($B200&amp;$D200,'Smelter Look-up'!$J:$J,0),MATCH($B200&amp;$C200,'Smelter Look-up'!$J:$J,0)))</f>
        <v>#N/A</v>
      </c>
      <c r="X200" s="219">
        <f t="shared" ca="1" si="31"/>
        <v>0</v>
      </c>
      <c r="AB200" s="220" t="str">
        <f t="shared" si="32"/>
        <v/>
      </c>
    </row>
    <row r="201" spans="1:28" s="219" customFormat="1" ht="20.25">
      <c r="A201" s="174"/>
      <c r="B201" s="175" t="str">
        <f>IF(LEN(A201)=0,"",INDEX('Smelter Look-up'!$A:$A,MATCH($A201,'Smelter Look-up'!$E:$E,0)))</f>
        <v/>
      </c>
      <c r="C201" s="179" t="str">
        <f>IF(LEN(A201)=0,"",INDEX('Smelter Look-up'!$C:$C,MATCH($A201,'Smelter Look-up'!$E:$E,0)))</f>
        <v/>
      </c>
      <c r="D201" s="222"/>
      <c r="E201" s="175" t="str">
        <f ca="1">IF(ISERROR($V201),"",OFFSET('Smelter Look-up'!$D$4,$V201-4,0)&amp;"")</f>
        <v/>
      </c>
      <c r="F201" s="175" t="str">
        <f ca="1">IF(ISERROR($V201),"",OFFSET('Smelter Look-up'!$E$4,$V201-4,0))</f>
        <v/>
      </c>
      <c r="G201" s="175" t="str">
        <f ca="1">IF(C201=$X$4,IF(ISERROR($V201),"Enter smelter details","RMI"),IF(ISERROR($V201),"",OFFSET('Smelter Look-up'!$F$4,$V201-4,0)))</f>
        <v/>
      </c>
      <c r="H201" s="176" t="str">
        <f ca="1">IF(ISERROR($V201),"",OFFSET('Smelter Look-up'!$G$4,$V201-4,0))</f>
        <v/>
      </c>
      <c r="I201" s="177" t="str">
        <f ca="1">IF(ISERROR($V201),"",OFFSET('Smelter Look-up'!$H$4,$V201-4,0))</f>
        <v/>
      </c>
      <c r="J201" s="177" t="str">
        <f ca="1">IF(ISERROR($V201),"",OFFSET('Smelter Look-up'!$I$4,$V201-4,0))</f>
        <v/>
      </c>
      <c r="K201" s="216"/>
      <c r="L201" s="216"/>
      <c r="M201" s="216"/>
      <c r="N201" s="216"/>
      <c r="O201" s="216"/>
      <c r="P201" s="178"/>
      <c r="Q201" s="217"/>
      <c r="R201" s="175" t="str">
        <f ca="1">IF(ISERROR($V201),"",OFFSET('Smelter Look-up'!$C$4,$V201-4,0)&amp;"")</f>
        <v/>
      </c>
      <c r="S201" s="174" t="str">
        <f t="shared" ca="1" si="30"/>
        <v/>
      </c>
      <c r="T201" s="174" t="str">
        <f ca="1">IF(B201="","",IF(ISERROR(MATCH($J201,SorP!$B$1:$B$6279,0)),"",INDIRECT("'SorP'!$A$"&amp;MATCH($S201&amp;$J201,SorP!C:C,0))))</f>
        <v/>
      </c>
      <c r="U201" s="194"/>
      <c r="V201" s="218" t="e">
        <f>IF(C201="",NA(),IF(OR(C201="Smelter not listed",C201="Smelter not yet identified"),MATCH($B201&amp;$D201,'Smelter Look-up'!$J:$J,0),MATCH($B201&amp;$C201,'Smelter Look-up'!$J:$J,0)))</f>
        <v>#N/A</v>
      </c>
      <c r="X201" s="219">
        <f t="shared" ca="1" si="31"/>
        <v>0</v>
      </c>
      <c r="AB201" s="220" t="str">
        <f t="shared" si="32"/>
        <v/>
      </c>
    </row>
    <row r="202" spans="1:28" s="219" customFormat="1" ht="20.25">
      <c r="A202" s="174"/>
      <c r="B202" s="175" t="str">
        <f>IF(LEN(A202)=0,"",INDEX('Smelter Look-up'!$A:$A,MATCH($A202,'Smelter Look-up'!$E:$E,0)))</f>
        <v/>
      </c>
      <c r="C202" s="179" t="str">
        <f>IF(LEN(A202)=0,"",INDEX('Smelter Look-up'!$C:$C,MATCH($A202,'Smelter Look-up'!$E:$E,0)))</f>
        <v/>
      </c>
      <c r="D202" s="222"/>
      <c r="E202" s="175" t="str">
        <f ca="1">IF(ISERROR($V202),"",OFFSET('Smelter Look-up'!$D$4,$V202-4,0)&amp;"")</f>
        <v/>
      </c>
      <c r="F202" s="175" t="str">
        <f ca="1">IF(ISERROR($V202),"",OFFSET('Smelter Look-up'!$E$4,$V202-4,0))</f>
        <v/>
      </c>
      <c r="G202" s="175" t="str">
        <f ca="1">IF(C202=$X$4,IF(ISERROR($V202),"Enter smelter details","RMI"),IF(ISERROR($V202),"",OFFSET('Smelter Look-up'!$F$4,$V202-4,0)))</f>
        <v/>
      </c>
      <c r="H202" s="176" t="str">
        <f ca="1">IF(ISERROR($V202),"",OFFSET('Smelter Look-up'!$G$4,$V202-4,0))</f>
        <v/>
      </c>
      <c r="I202" s="177" t="str">
        <f ca="1">IF(ISERROR($V202),"",OFFSET('Smelter Look-up'!$H$4,$V202-4,0))</f>
        <v/>
      </c>
      <c r="J202" s="177" t="str">
        <f ca="1">IF(ISERROR($V202),"",OFFSET('Smelter Look-up'!$I$4,$V202-4,0))</f>
        <v/>
      </c>
      <c r="K202" s="216"/>
      <c r="L202" s="216"/>
      <c r="M202" s="216"/>
      <c r="N202" s="216"/>
      <c r="O202" s="216"/>
      <c r="P202" s="178"/>
      <c r="Q202" s="217"/>
      <c r="R202" s="175" t="str">
        <f ca="1">IF(ISERROR($V202),"",OFFSET('Smelter Look-up'!$C$4,$V202-4,0)&amp;"")</f>
        <v/>
      </c>
      <c r="S202" s="174" t="str">
        <f t="shared" ca="1" si="30"/>
        <v/>
      </c>
      <c r="T202" s="174" t="str">
        <f ca="1">IF(B202="","",IF(ISERROR(MATCH($J202,SorP!$B$1:$B$6279,0)),"",INDIRECT("'SorP'!$A$"&amp;MATCH($S202&amp;$J202,SorP!C:C,0))))</f>
        <v/>
      </c>
      <c r="U202" s="194"/>
      <c r="V202" s="218" t="e">
        <f>IF(C202="",NA(),IF(OR(C202="Smelter not listed",C202="Smelter not yet identified"),MATCH($B202&amp;$D202,'Smelter Look-up'!$J:$J,0),MATCH($B202&amp;$C202,'Smelter Look-up'!$J:$J,0)))</f>
        <v>#N/A</v>
      </c>
      <c r="X202" s="219">
        <f t="shared" ca="1" si="31"/>
        <v>0</v>
      </c>
      <c r="AB202" s="220" t="str">
        <f t="shared" si="32"/>
        <v/>
      </c>
    </row>
    <row r="203" spans="1:28" s="219" customFormat="1" ht="20.25">
      <c r="A203" s="174"/>
      <c r="B203" s="175" t="str">
        <f>IF(LEN(A203)=0,"",INDEX('Smelter Look-up'!$A:$A,MATCH($A203,'Smelter Look-up'!$E:$E,0)))</f>
        <v/>
      </c>
      <c r="C203" s="179" t="str">
        <f>IF(LEN(A203)=0,"",INDEX('Smelter Look-up'!$C:$C,MATCH($A203,'Smelter Look-up'!$E:$E,0)))</f>
        <v/>
      </c>
      <c r="D203" s="222"/>
      <c r="E203" s="175" t="str">
        <f ca="1">IF(ISERROR($V203),"",OFFSET('Smelter Look-up'!$D$4,$V203-4,0)&amp;"")</f>
        <v/>
      </c>
      <c r="F203" s="175" t="str">
        <f ca="1">IF(ISERROR($V203),"",OFFSET('Smelter Look-up'!$E$4,$V203-4,0))</f>
        <v/>
      </c>
      <c r="G203" s="175" t="str">
        <f ca="1">IF(C203=$X$4,IF(ISERROR($V203),"Enter smelter details","RMI"),IF(ISERROR($V203),"",OFFSET('Smelter Look-up'!$F$4,$V203-4,0)))</f>
        <v/>
      </c>
      <c r="H203" s="176" t="str">
        <f ca="1">IF(ISERROR($V203),"",OFFSET('Smelter Look-up'!$G$4,$V203-4,0))</f>
        <v/>
      </c>
      <c r="I203" s="177" t="str">
        <f ca="1">IF(ISERROR($V203),"",OFFSET('Smelter Look-up'!$H$4,$V203-4,0))</f>
        <v/>
      </c>
      <c r="J203" s="177" t="str">
        <f ca="1">IF(ISERROR($V203),"",OFFSET('Smelter Look-up'!$I$4,$V203-4,0))</f>
        <v/>
      </c>
      <c r="K203" s="216"/>
      <c r="L203" s="216"/>
      <c r="M203" s="216"/>
      <c r="N203" s="216"/>
      <c r="O203" s="216"/>
      <c r="P203" s="178"/>
      <c r="Q203" s="217"/>
      <c r="R203" s="175" t="str">
        <f ca="1">IF(ISERROR($V203),"",OFFSET('Smelter Look-up'!$C$4,$V203-4,0)&amp;"")</f>
        <v/>
      </c>
      <c r="S203" s="174" t="str">
        <f t="shared" ca="1" si="30"/>
        <v/>
      </c>
      <c r="T203" s="174" t="str">
        <f ca="1">IF(B203="","",IF(ISERROR(MATCH($J203,SorP!$B$1:$B$6279,0)),"",INDIRECT("'SorP'!$A$"&amp;MATCH($S203&amp;$J203,SorP!C:C,0))))</f>
        <v/>
      </c>
      <c r="U203" s="194"/>
      <c r="V203" s="218" t="e">
        <f>IF(C203="",NA(),IF(OR(C203="Smelter not listed",C203="Smelter not yet identified"),MATCH($B203&amp;$D203,'Smelter Look-up'!$J:$J,0),MATCH($B203&amp;$C203,'Smelter Look-up'!$J:$J,0)))</f>
        <v>#N/A</v>
      </c>
      <c r="X203" s="219">
        <f t="shared" ca="1" si="31"/>
        <v>0</v>
      </c>
      <c r="AB203" s="220" t="str">
        <f t="shared" si="32"/>
        <v/>
      </c>
    </row>
    <row r="204" spans="1:28" s="219" customFormat="1" ht="20.25">
      <c r="A204" s="174"/>
      <c r="B204" s="175" t="str">
        <f>IF(LEN(A204)=0,"",INDEX('Smelter Look-up'!$A:$A,MATCH($A204,'Smelter Look-up'!$E:$E,0)))</f>
        <v/>
      </c>
      <c r="C204" s="179" t="str">
        <f>IF(LEN(A204)=0,"",INDEX('Smelter Look-up'!$C:$C,MATCH($A204,'Smelter Look-up'!$E:$E,0)))</f>
        <v/>
      </c>
      <c r="D204" s="222"/>
      <c r="E204" s="175" t="str">
        <f ca="1">IF(ISERROR($V204),"",OFFSET('Smelter Look-up'!$D$4,$V204-4,0)&amp;"")</f>
        <v/>
      </c>
      <c r="F204" s="175" t="str">
        <f ca="1">IF(ISERROR($V204),"",OFFSET('Smelter Look-up'!$E$4,$V204-4,0))</f>
        <v/>
      </c>
      <c r="G204" s="175" t="str">
        <f ca="1">IF(C204=$X$4,IF(ISERROR($V204),"Enter smelter details","RMI"),IF(ISERROR($V204),"",OFFSET('Smelter Look-up'!$F$4,$V204-4,0)))</f>
        <v/>
      </c>
      <c r="H204" s="176" t="str">
        <f ca="1">IF(ISERROR($V204),"",OFFSET('Smelter Look-up'!$G$4,$V204-4,0))</f>
        <v/>
      </c>
      <c r="I204" s="177" t="str">
        <f ca="1">IF(ISERROR($V204),"",OFFSET('Smelter Look-up'!$H$4,$V204-4,0))</f>
        <v/>
      </c>
      <c r="J204" s="177" t="str">
        <f ca="1">IF(ISERROR($V204),"",OFFSET('Smelter Look-up'!$I$4,$V204-4,0))</f>
        <v/>
      </c>
      <c r="K204" s="216"/>
      <c r="L204" s="216"/>
      <c r="M204" s="216"/>
      <c r="N204" s="216"/>
      <c r="O204" s="216"/>
      <c r="P204" s="178"/>
      <c r="Q204" s="217"/>
      <c r="R204" s="175" t="str">
        <f ca="1">IF(ISERROR($V204),"",OFFSET('Smelter Look-up'!$C$4,$V204-4,0)&amp;"")</f>
        <v/>
      </c>
      <c r="S204" s="174" t="str">
        <f t="shared" ca="1" si="30"/>
        <v/>
      </c>
      <c r="T204" s="174" t="str">
        <f ca="1">IF(B204="","",IF(ISERROR(MATCH($J204,SorP!$B$1:$B$6279,0)),"",INDIRECT("'SorP'!$A$"&amp;MATCH($S204&amp;$J204,SorP!C:C,0))))</f>
        <v/>
      </c>
      <c r="U204" s="194"/>
      <c r="V204" s="218" t="e">
        <f>IF(C204="",NA(),IF(OR(C204="Smelter not listed",C204="Smelter not yet identified"),MATCH($B204&amp;$D204,'Smelter Look-up'!$J:$J,0),MATCH($B204&amp;$C204,'Smelter Look-up'!$J:$J,0)))</f>
        <v>#N/A</v>
      </c>
      <c r="X204" s="219">
        <f t="shared" ca="1" si="31"/>
        <v>0</v>
      </c>
      <c r="AB204" s="220" t="str">
        <f t="shared" si="32"/>
        <v/>
      </c>
    </row>
    <row r="205" spans="1:28" s="219" customFormat="1" ht="20.25">
      <c r="A205" s="174"/>
      <c r="B205" s="175" t="str">
        <f>IF(LEN(A205)=0,"",INDEX('Smelter Look-up'!$A:$A,MATCH($A205,'Smelter Look-up'!$E:$E,0)))</f>
        <v/>
      </c>
      <c r="C205" s="179" t="str">
        <f>IF(LEN(A205)=0,"",INDEX('Smelter Look-up'!$C:$C,MATCH($A205,'Smelter Look-up'!$E:$E,0)))</f>
        <v/>
      </c>
      <c r="D205" s="222"/>
      <c r="E205" s="175" t="str">
        <f ca="1">IF(ISERROR($V205),"",OFFSET('Smelter Look-up'!$D$4,$V205-4,0)&amp;"")</f>
        <v/>
      </c>
      <c r="F205" s="175" t="str">
        <f ca="1">IF(ISERROR($V205),"",OFFSET('Smelter Look-up'!$E$4,$V205-4,0))</f>
        <v/>
      </c>
      <c r="G205" s="175" t="str">
        <f ca="1">IF(C205=$X$4,IF(ISERROR($V205),"Enter smelter details","RMI"),IF(ISERROR($V205),"",OFFSET('Smelter Look-up'!$F$4,$V205-4,0)))</f>
        <v/>
      </c>
      <c r="H205" s="176" t="str">
        <f ca="1">IF(ISERROR($V205),"",OFFSET('Smelter Look-up'!$G$4,$V205-4,0))</f>
        <v/>
      </c>
      <c r="I205" s="177" t="str">
        <f ca="1">IF(ISERROR($V205),"",OFFSET('Smelter Look-up'!$H$4,$V205-4,0))</f>
        <v/>
      </c>
      <c r="J205" s="177" t="str">
        <f ca="1">IF(ISERROR($V205),"",OFFSET('Smelter Look-up'!$I$4,$V205-4,0))</f>
        <v/>
      </c>
      <c r="K205" s="216"/>
      <c r="L205" s="216"/>
      <c r="M205" s="216"/>
      <c r="N205" s="216"/>
      <c r="O205" s="216"/>
      <c r="P205" s="178"/>
      <c r="Q205" s="217"/>
      <c r="R205" s="175" t="str">
        <f ca="1">IF(ISERROR($V205),"",OFFSET('Smelter Look-up'!$C$4,$V205-4,0)&amp;"")</f>
        <v/>
      </c>
      <c r="S205" s="174" t="str">
        <f t="shared" ca="1" si="30"/>
        <v/>
      </c>
      <c r="T205" s="174" t="str">
        <f ca="1">IF(B205="","",IF(ISERROR(MATCH($J205,SorP!$B$1:$B$6279,0)),"",INDIRECT("'SorP'!$A$"&amp;MATCH($S205&amp;$J205,SorP!C:C,0))))</f>
        <v/>
      </c>
      <c r="U205" s="194"/>
      <c r="V205" s="218" t="e">
        <f>IF(C205="",NA(),IF(OR(C205="Smelter not listed",C205="Smelter not yet identified"),MATCH($B205&amp;$D205,'Smelter Look-up'!$J:$J,0),MATCH($B205&amp;$C205,'Smelter Look-up'!$J:$J,0)))</f>
        <v>#N/A</v>
      </c>
      <c r="X205" s="219">
        <f t="shared" ca="1" si="31"/>
        <v>0</v>
      </c>
      <c r="AB205" s="220" t="str">
        <f t="shared" si="32"/>
        <v/>
      </c>
    </row>
    <row r="206" spans="1:28" s="219" customFormat="1" ht="20.25">
      <c r="A206" s="174"/>
      <c r="B206" s="175" t="str">
        <f>IF(LEN(A206)=0,"",INDEX('Smelter Look-up'!$A:$A,MATCH($A206,'Smelter Look-up'!$E:$E,0)))</f>
        <v/>
      </c>
      <c r="C206" s="179" t="str">
        <f>IF(LEN(A206)=0,"",INDEX('Smelter Look-up'!$C:$C,MATCH($A206,'Smelter Look-up'!$E:$E,0)))</f>
        <v/>
      </c>
      <c r="D206" s="222"/>
      <c r="E206" s="175" t="str">
        <f ca="1">IF(ISERROR($V206),"",OFFSET('Smelter Look-up'!$D$4,$V206-4,0)&amp;"")</f>
        <v/>
      </c>
      <c r="F206" s="175" t="str">
        <f ca="1">IF(ISERROR($V206),"",OFFSET('Smelter Look-up'!$E$4,$V206-4,0))</f>
        <v/>
      </c>
      <c r="G206" s="175" t="str">
        <f ca="1">IF(C206=$X$4,IF(ISERROR($V206),"Enter smelter details","RMI"),IF(ISERROR($V206),"",OFFSET('Smelter Look-up'!$F$4,$V206-4,0)))</f>
        <v/>
      </c>
      <c r="H206" s="176" t="str">
        <f ca="1">IF(ISERROR($V206),"",OFFSET('Smelter Look-up'!$G$4,$V206-4,0))</f>
        <v/>
      </c>
      <c r="I206" s="177" t="str">
        <f ca="1">IF(ISERROR($V206),"",OFFSET('Smelter Look-up'!$H$4,$V206-4,0))</f>
        <v/>
      </c>
      <c r="J206" s="177" t="str">
        <f ca="1">IF(ISERROR($V206),"",OFFSET('Smelter Look-up'!$I$4,$V206-4,0))</f>
        <v/>
      </c>
      <c r="K206" s="216"/>
      <c r="L206" s="216"/>
      <c r="M206" s="216"/>
      <c r="N206" s="216"/>
      <c r="O206" s="216"/>
      <c r="P206" s="178"/>
      <c r="Q206" s="217"/>
      <c r="R206" s="175" t="str">
        <f ca="1">IF(ISERROR($V206),"",OFFSET('Smelter Look-up'!$C$4,$V206-4,0)&amp;"")</f>
        <v/>
      </c>
      <c r="S206" s="174" t="str">
        <f t="shared" ca="1" si="30"/>
        <v/>
      </c>
      <c r="T206" s="174" t="str">
        <f ca="1">IF(B206="","",IF(ISERROR(MATCH($J206,SorP!$B$1:$B$6279,0)),"",INDIRECT("'SorP'!$A$"&amp;MATCH($S206&amp;$J206,SorP!C:C,0))))</f>
        <v/>
      </c>
      <c r="U206" s="194"/>
      <c r="V206" s="218" t="e">
        <f>IF(C206="",NA(),IF(OR(C206="Smelter not listed",C206="Smelter not yet identified"),MATCH($B206&amp;$D206,'Smelter Look-up'!$J:$J,0),MATCH($B206&amp;$C206,'Smelter Look-up'!$J:$J,0)))</f>
        <v>#N/A</v>
      </c>
      <c r="X206" s="219">
        <f t="shared" ca="1" si="31"/>
        <v>0</v>
      </c>
      <c r="AB206" s="220" t="str">
        <f t="shared" si="32"/>
        <v/>
      </c>
    </row>
    <row r="207" spans="1:28" s="219" customFormat="1" ht="20.25">
      <c r="A207" s="174"/>
      <c r="B207" s="175" t="str">
        <f>IF(LEN(A207)=0,"",INDEX('Smelter Look-up'!$A:$A,MATCH($A207,'Smelter Look-up'!$E:$E,0)))</f>
        <v/>
      </c>
      <c r="C207" s="179" t="str">
        <f>IF(LEN(A207)=0,"",INDEX('Smelter Look-up'!$C:$C,MATCH($A207,'Smelter Look-up'!$E:$E,0)))</f>
        <v/>
      </c>
      <c r="D207" s="222"/>
      <c r="E207" s="175" t="str">
        <f ca="1">IF(ISERROR($V207),"",OFFSET('Smelter Look-up'!$D$4,$V207-4,0)&amp;"")</f>
        <v/>
      </c>
      <c r="F207" s="175" t="str">
        <f ca="1">IF(ISERROR($V207),"",OFFSET('Smelter Look-up'!$E$4,$V207-4,0))</f>
        <v/>
      </c>
      <c r="G207" s="175" t="str">
        <f ca="1">IF(C207=$X$4,IF(ISERROR($V207),"Enter smelter details","RMI"),IF(ISERROR($V207),"",OFFSET('Smelter Look-up'!$F$4,$V207-4,0)))</f>
        <v/>
      </c>
      <c r="H207" s="176" t="str">
        <f ca="1">IF(ISERROR($V207),"",OFFSET('Smelter Look-up'!$G$4,$V207-4,0))</f>
        <v/>
      </c>
      <c r="I207" s="177" t="str">
        <f ca="1">IF(ISERROR($V207),"",OFFSET('Smelter Look-up'!$H$4,$V207-4,0))</f>
        <v/>
      </c>
      <c r="J207" s="177" t="str">
        <f ca="1">IF(ISERROR($V207),"",OFFSET('Smelter Look-up'!$I$4,$V207-4,0))</f>
        <v/>
      </c>
      <c r="K207" s="216"/>
      <c r="L207" s="216"/>
      <c r="M207" s="216"/>
      <c r="N207" s="216"/>
      <c r="O207" s="216"/>
      <c r="P207" s="178"/>
      <c r="Q207" s="217"/>
      <c r="R207" s="175" t="str">
        <f ca="1">IF(ISERROR($V207),"",OFFSET('Smelter Look-up'!$C$4,$V207-4,0)&amp;"")</f>
        <v/>
      </c>
      <c r="S207" s="174" t="str">
        <f t="shared" ca="1" si="30"/>
        <v/>
      </c>
      <c r="T207" s="174" t="str">
        <f ca="1">IF(B207="","",IF(ISERROR(MATCH($J207,SorP!$B$1:$B$6279,0)),"",INDIRECT("'SorP'!$A$"&amp;MATCH($S207&amp;$J207,SorP!C:C,0))))</f>
        <v/>
      </c>
      <c r="U207" s="194"/>
      <c r="V207" s="218" t="e">
        <f>IF(C207="",NA(),IF(OR(C207="Smelter not listed",C207="Smelter not yet identified"),MATCH($B207&amp;$D207,'Smelter Look-up'!$J:$J,0),MATCH($B207&amp;$C207,'Smelter Look-up'!$J:$J,0)))</f>
        <v>#N/A</v>
      </c>
      <c r="X207" s="219">
        <f t="shared" ca="1" si="31"/>
        <v>0</v>
      </c>
      <c r="AB207" s="220" t="str">
        <f t="shared" si="32"/>
        <v/>
      </c>
    </row>
    <row r="208" spans="1:28" s="219" customFormat="1" ht="20.25">
      <c r="A208" s="174"/>
      <c r="B208" s="175" t="str">
        <f>IF(LEN(A208)=0,"",INDEX('Smelter Look-up'!$A:$A,MATCH($A208,'Smelter Look-up'!$E:$E,0)))</f>
        <v/>
      </c>
      <c r="C208" s="179" t="str">
        <f>IF(LEN(A208)=0,"",INDEX('Smelter Look-up'!$C:$C,MATCH($A208,'Smelter Look-up'!$E:$E,0)))</f>
        <v/>
      </c>
      <c r="D208" s="222"/>
      <c r="E208" s="175" t="str">
        <f ca="1">IF(ISERROR($V208),"",OFFSET('Smelter Look-up'!$D$4,$V208-4,0)&amp;"")</f>
        <v/>
      </c>
      <c r="F208" s="175" t="str">
        <f ca="1">IF(ISERROR($V208),"",OFFSET('Smelter Look-up'!$E$4,$V208-4,0))</f>
        <v/>
      </c>
      <c r="G208" s="175" t="str">
        <f ca="1">IF(C208=$X$4,IF(ISERROR($V208),"Enter smelter details","RMI"),IF(ISERROR($V208),"",OFFSET('Smelter Look-up'!$F$4,$V208-4,0)))</f>
        <v/>
      </c>
      <c r="H208" s="176" t="str">
        <f ca="1">IF(ISERROR($V208),"",OFFSET('Smelter Look-up'!$G$4,$V208-4,0))</f>
        <v/>
      </c>
      <c r="I208" s="177" t="str">
        <f ca="1">IF(ISERROR($V208),"",OFFSET('Smelter Look-up'!$H$4,$V208-4,0))</f>
        <v/>
      </c>
      <c r="J208" s="177" t="str">
        <f ca="1">IF(ISERROR($V208),"",OFFSET('Smelter Look-up'!$I$4,$V208-4,0))</f>
        <v/>
      </c>
      <c r="K208" s="216"/>
      <c r="L208" s="216"/>
      <c r="M208" s="216"/>
      <c r="N208" s="216"/>
      <c r="O208" s="216"/>
      <c r="P208" s="178"/>
      <c r="Q208" s="217"/>
      <c r="R208" s="175" t="str">
        <f ca="1">IF(ISERROR($V208),"",OFFSET('Smelter Look-up'!$C$4,$V208-4,0)&amp;"")</f>
        <v/>
      </c>
      <c r="S208" s="174" t="str">
        <f t="shared" ca="1" si="30"/>
        <v/>
      </c>
      <c r="T208" s="174" t="str">
        <f ca="1">IF(B208="","",IF(ISERROR(MATCH($J208,SorP!$B$1:$B$6279,0)),"",INDIRECT("'SorP'!$A$"&amp;MATCH($S208&amp;$J208,SorP!C:C,0))))</f>
        <v/>
      </c>
      <c r="U208" s="194"/>
      <c r="V208" s="218" t="e">
        <f>IF(C208="",NA(),IF(OR(C208="Smelter not listed",C208="Smelter not yet identified"),MATCH($B208&amp;$D208,'Smelter Look-up'!$J:$J,0),MATCH($B208&amp;$C208,'Smelter Look-up'!$J:$J,0)))</f>
        <v>#N/A</v>
      </c>
      <c r="X208" s="219">
        <f t="shared" ca="1" si="31"/>
        <v>0</v>
      </c>
      <c r="AB208" s="220" t="str">
        <f t="shared" si="32"/>
        <v/>
      </c>
    </row>
    <row r="209" spans="1:28" s="219" customFormat="1" ht="20.25">
      <c r="A209" s="174"/>
      <c r="B209" s="175" t="str">
        <f>IF(LEN(A209)=0,"",INDEX('Smelter Look-up'!$A:$A,MATCH($A209,'Smelter Look-up'!$E:$E,0)))</f>
        <v/>
      </c>
      <c r="C209" s="179" t="str">
        <f>IF(LEN(A209)=0,"",INDEX('Smelter Look-up'!$C:$C,MATCH($A209,'Smelter Look-up'!$E:$E,0)))</f>
        <v/>
      </c>
      <c r="D209" s="222"/>
      <c r="E209" s="175" t="str">
        <f ca="1">IF(ISERROR($V209),"",OFFSET('Smelter Look-up'!$D$4,$V209-4,0)&amp;"")</f>
        <v/>
      </c>
      <c r="F209" s="175" t="str">
        <f ca="1">IF(ISERROR($V209),"",OFFSET('Smelter Look-up'!$E$4,$V209-4,0))</f>
        <v/>
      </c>
      <c r="G209" s="175" t="str">
        <f ca="1">IF(C209=$X$4,IF(ISERROR($V209),"Enter smelter details","RMI"),IF(ISERROR($V209),"",OFFSET('Smelter Look-up'!$F$4,$V209-4,0)))</f>
        <v/>
      </c>
      <c r="H209" s="176" t="str">
        <f ca="1">IF(ISERROR($V209),"",OFFSET('Smelter Look-up'!$G$4,$V209-4,0))</f>
        <v/>
      </c>
      <c r="I209" s="177" t="str">
        <f ca="1">IF(ISERROR($V209),"",OFFSET('Smelter Look-up'!$H$4,$V209-4,0))</f>
        <v/>
      </c>
      <c r="J209" s="177" t="str">
        <f ca="1">IF(ISERROR($V209),"",OFFSET('Smelter Look-up'!$I$4,$V209-4,0))</f>
        <v/>
      </c>
      <c r="K209" s="216"/>
      <c r="L209" s="216"/>
      <c r="M209" s="216"/>
      <c r="N209" s="216"/>
      <c r="O209" s="216"/>
      <c r="P209" s="178"/>
      <c r="Q209" s="217"/>
      <c r="R209" s="175" t="str">
        <f ca="1">IF(ISERROR($V209),"",OFFSET('Smelter Look-up'!$C$4,$V209-4,0)&amp;"")</f>
        <v/>
      </c>
      <c r="S209" s="174" t="str">
        <f t="shared" ca="1" si="30"/>
        <v/>
      </c>
      <c r="T209" s="174" t="str">
        <f ca="1">IF(B209="","",IF(ISERROR(MATCH($J209,SorP!$B$1:$B$6279,0)),"",INDIRECT("'SorP'!$A$"&amp;MATCH($S209&amp;$J209,SorP!C:C,0))))</f>
        <v/>
      </c>
      <c r="U209" s="194"/>
      <c r="V209" s="218" t="e">
        <f>IF(C209="",NA(),IF(OR(C209="Smelter not listed",C209="Smelter not yet identified"),MATCH($B209&amp;$D209,'Smelter Look-up'!$J:$J,0),MATCH($B209&amp;$C209,'Smelter Look-up'!$J:$J,0)))</f>
        <v>#N/A</v>
      </c>
      <c r="X209" s="219">
        <f t="shared" ca="1" si="31"/>
        <v>0</v>
      </c>
      <c r="AB209" s="220" t="str">
        <f t="shared" si="32"/>
        <v/>
      </c>
    </row>
    <row r="210" spans="1:28" s="219" customFormat="1" ht="20.25">
      <c r="A210" s="174"/>
      <c r="B210" s="175" t="str">
        <f>IF(LEN(A210)=0,"",INDEX('Smelter Look-up'!$A:$A,MATCH($A210,'Smelter Look-up'!$E:$E,0)))</f>
        <v/>
      </c>
      <c r="C210" s="179" t="str">
        <f>IF(LEN(A210)=0,"",INDEX('Smelter Look-up'!$C:$C,MATCH($A210,'Smelter Look-up'!$E:$E,0)))</f>
        <v/>
      </c>
      <c r="D210" s="222"/>
      <c r="E210" s="175" t="str">
        <f ca="1">IF(ISERROR($V210),"",OFFSET('Smelter Look-up'!$D$4,$V210-4,0)&amp;"")</f>
        <v/>
      </c>
      <c r="F210" s="175" t="str">
        <f ca="1">IF(ISERROR($V210),"",OFFSET('Smelter Look-up'!$E$4,$V210-4,0))</f>
        <v/>
      </c>
      <c r="G210" s="175" t="str">
        <f ca="1">IF(C210=$X$4,IF(ISERROR($V210),"Enter smelter details","RMI"),IF(ISERROR($V210),"",OFFSET('Smelter Look-up'!$F$4,$V210-4,0)))</f>
        <v/>
      </c>
      <c r="H210" s="176" t="str">
        <f ca="1">IF(ISERROR($V210),"",OFFSET('Smelter Look-up'!$G$4,$V210-4,0))</f>
        <v/>
      </c>
      <c r="I210" s="177" t="str">
        <f ca="1">IF(ISERROR($V210),"",OFFSET('Smelter Look-up'!$H$4,$V210-4,0))</f>
        <v/>
      </c>
      <c r="J210" s="177" t="str">
        <f ca="1">IF(ISERROR($V210),"",OFFSET('Smelter Look-up'!$I$4,$V210-4,0))</f>
        <v/>
      </c>
      <c r="K210" s="216"/>
      <c r="L210" s="216"/>
      <c r="M210" s="216"/>
      <c r="N210" s="216"/>
      <c r="O210" s="216"/>
      <c r="P210" s="178"/>
      <c r="Q210" s="217"/>
      <c r="R210" s="175" t="str">
        <f ca="1">IF(ISERROR($V210),"",OFFSET('Smelter Look-up'!$C$4,$V210-4,0)&amp;"")</f>
        <v/>
      </c>
      <c r="S210" s="174" t="str">
        <f t="shared" ca="1" si="30"/>
        <v/>
      </c>
      <c r="T210" s="174" t="str">
        <f ca="1">IF(B210="","",IF(ISERROR(MATCH($J210,SorP!$B$1:$B$6279,0)),"",INDIRECT("'SorP'!$A$"&amp;MATCH($S210&amp;$J210,SorP!C:C,0))))</f>
        <v/>
      </c>
      <c r="U210" s="194"/>
      <c r="V210" s="218" t="e">
        <f>IF(C210="",NA(),IF(OR(C210="Smelter not listed",C210="Smelter not yet identified"),MATCH($B210&amp;$D210,'Smelter Look-up'!$J:$J,0),MATCH($B210&amp;$C210,'Smelter Look-up'!$J:$J,0)))</f>
        <v>#N/A</v>
      </c>
      <c r="X210" s="219">
        <f t="shared" ca="1" si="31"/>
        <v>0</v>
      </c>
      <c r="AB210" s="220" t="str">
        <f t="shared" si="32"/>
        <v/>
      </c>
    </row>
    <row r="211" spans="1:28" s="219" customFormat="1" ht="20.25">
      <c r="A211" s="174"/>
      <c r="B211" s="175" t="str">
        <f>IF(LEN(A211)=0,"",INDEX('Smelter Look-up'!$A:$A,MATCH($A211,'Smelter Look-up'!$E:$E,0)))</f>
        <v/>
      </c>
      <c r="C211" s="179" t="str">
        <f>IF(LEN(A211)=0,"",INDEX('Smelter Look-up'!$C:$C,MATCH($A211,'Smelter Look-up'!$E:$E,0)))</f>
        <v/>
      </c>
      <c r="D211" s="222"/>
      <c r="E211" s="175" t="str">
        <f ca="1">IF(ISERROR($V211),"",OFFSET('Smelter Look-up'!$D$4,$V211-4,0)&amp;"")</f>
        <v/>
      </c>
      <c r="F211" s="175" t="str">
        <f ca="1">IF(ISERROR($V211),"",OFFSET('Smelter Look-up'!$E$4,$V211-4,0))</f>
        <v/>
      </c>
      <c r="G211" s="175" t="str">
        <f ca="1">IF(C211=$X$4,IF(ISERROR($V211),"Enter smelter details","RMI"),IF(ISERROR($V211),"",OFFSET('Smelter Look-up'!$F$4,$V211-4,0)))</f>
        <v/>
      </c>
      <c r="H211" s="176" t="str">
        <f ca="1">IF(ISERROR($V211),"",OFFSET('Smelter Look-up'!$G$4,$V211-4,0))</f>
        <v/>
      </c>
      <c r="I211" s="177" t="str">
        <f ca="1">IF(ISERROR($V211),"",OFFSET('Smelter Look-up'!$H$4,$V211-4,0))</f>
        <v/>
      </c>
      <c r="J211" s="177" t="str">
        <f ca="1">IF(ISERROR($V211),"",OFFSET('Smelter Look-up'!$I$4,$V211-4,0))</f>
        <v/>
      </c>
      <c r="K211" s="216"/>
      <c r="L211" s="216"/>
      <c r="M211" s="216"/>
      <c r="N211" s="216"/>
      <c r="O211" s="216"/>
      <c r="P211" s="178"/>
      <c r="Q211" s="217"/>
      <c r="R211" s="175" t="str">
        <f ca="1">IF(ISERROR($V211),"",OFFSET('Smelter Look-up'!$C$4,$V211-4,0)&amp;"")</f>
        <v/>
      </c>
      <c r="S211" s="174" t="str">
        <f t="shared" ca="1" si="30"/>
        <v/>
      </c>
      <c r="T211" s="174" t="str">
        <f ca="1">IF(B211="","",IF(ISERROR(MATCH($J211,SorP!$B$1:$B$6279,0)),"",INDIRECT("'SorP'!$A$"&amp;MATCH($S211&amp;$J211,SorP!C:C,0))))</f>
        <v/>
      </c>
      <c r="U211" s="194"/>
      <c r="V211" s="218" t="e">
        <f>IF(C211="",NA(),IF(OR(C211="Smelter not listed",C211="Smelter not yet identified"),MATCH($B211&amp;$D211,'Smelter Look-up'!$J:$J,0),MATCH($B211&amp;$C211,'Smelter Look-up'!$J:$J,0)))</f>
        <v>#N/A</v>
      </c>
      <c r="X211" s="219">
        <f t="shared" ca="1" si="31"/>
        <v>0</v>
      </c>
      <c r="AB211" s="220" t="str">
        <f t="shared" si="32"/>
        <v/>
      </c>
    </row>
    <row r="212" spans="1:28" s="219" customFormat="1" ht="20.25">
      <c r="A212" s="174"/>
      <c r="B212" s="175" t="str">
        <f>IF(LEN(A212)=0,"",INDEX('Smelter Look-up'!$A:$A,MATCH($A212,'Smelter Look-up'!$E:$E,0)))</f>
        <v/>
      </c>
      <c r="C212" s="179" t="str">
        <f>IF(LEN(A212)=0,"",INDEX('Smelter Look-up'!$C:$C,MATCH($A212,'Smelter Look-up'!$E:$E,0)))</f>
        <v/>
      </c>
      <c r="D212" s="222"/>
      <c r="E212" s="175" t="str">
        <f ca="1">IF(ISERROR($V212),"",OFFSET('Smelter Look-up'!$D$4,$V212-4,0)&amp;"")</f>
        <v/>
      </c>
      <c r="F212" s="175" t="str">
        <f ca="1">IF(ISERROR($V212),"",OFFSET('Smelter Look-up'!$E$4,$V212-4,0))</f>
        <v/>
      </c>
      <c r="G212" s="175" t="str">
        <f ca="1">IF(C212=$X$4,IF(ISERROR($V212),"Enter smelter details","RMI"),IF(ISERROR($V212),"",OFFSET('Smelter Look-up'!$F$4,$V212-4,0)))</f>
        <v/>
      </c>
      <c r="H212" s="176" t="str">
        <f ca="1">IF(ISERROR($V212),"",OFFSET('Smelter Look-up'!$G$4,$V212-4,0))</f>
        <v/>
      </c>
      <c r="I212" s="177" t="str">
        <f ca="1">IF(ISERROR($V212),"",OFFSET('Smelter Look-up'!$H$4,$V212-4,0))</f>
        <v/>
      </c>
      <c r="J212" s="177" t="str">
        <f ca="1">IF(ISERROR($V212),"",OFFSET('Smelter Look-up'!$I$4,$V212-4,0))</f>
        <v/>
      </c>
      <c r="K212" s="216"/>
      <c r="L212" s="216"/>
      <c r="M212" s="216"/>
      <c r="N212" s="216"/>
      <c r="O212" s="216"/>
      <c r="P212" s="178"/>
      <c r="Q212" s="217"/>
      <c r="R212" s="175" t="str">
        <f ca="1">IF(ISERROR($V212),"",OFFSET('Smelter Look-up'!$C$4,$V212-4,0)&amp;"")</f>
        <v/>
      </c>
      <c r="S212" s="174" t="str">
        <f t="shared" ca="1" si="30"/>
        <v/>
      </c>
      <c r="T212" s="174" t="str">
        <f ca="1">IF(B212="","",IF(ISERROR(MATCH($J212,SorP!$B$1:$B$6279,0)),"",INDIRECT("'SorP'!$A$"&amp;MATCH($S212&amp;$J212,SorP!C:C,0))))</f>
        <v/>
      </c>
      <c r="U212" s="194"/>
      <c r="V212" s="218" t="e">
        <f>IF(C212="",NA(),IF(OR(C212="Smelter not listed",C212="Smelter not yet identified"),MATCH($B212&amp;$D212,'Smelter Look-up'!$J:$J,0),MATCH($B212&amp;$C212,'Smelter Look-up'!$J:$J,0)))</f>
        <v>#N/A</v>
      </c>
      <c r="X212" s="219">
        <f t="shared" ca="1" si="31"/>
        <v>0</v>
      </c>
      <c r="AB212" s="220" t="str">
        <f t="shared" si="32"/>
        <v/>
      </c>
    </row>
    <row r="213" spans="1:28" s="219" customFormat="1" ht="20.25">
      <c r="A213" s="174"/>
      <c r="B213" s="175" t="str">
        <f>IF(LEN(A213)=0,"",INDEX('Smelter Look-up'!$A:$A,MATCH($A213,'Smelter Look-up'!$E:$E,0)))</f>
        <v/>
      </c>
      <c r="C213" s="179" t="str">
        <f>IF(LEN(A213)=0,"",INDEX('Smelter Look-up'!$C:$C,MATCH($A213,'Smelter Look-up'!$E:$E,0)))</f>
        <v/>
      </c>
      <c r="D213" s="222"/>
      <c r="E213" s="175" t="str">
        <f ca="1">IF(ISERROR($V213),"",OFFSET('Smelter Look-up'!$D$4,$V213-4,0)&amp;"")</f>
        <v/>
      </c>
      <c r="F213" s="175" t="str">
        <f ca="1">IF(ISERROR($V213),"",OFFSET('Smelter Look-up'!$E$4,$V213-4,0))</f>
        <v/>
      </c>
      <c r="G213" s="175" t="str">
        <f ca="1">IF(C213=$X$4,IF(ISERROR($V213),"Enter smelter details","RMI"),IF(ISERROR($V213),"",OFFSET('Smelter Look-up'!$F$4,$V213-4,0)))</f>
        <v/>
      </c>
      <c r="H213" s="176" t="str">
        <f ca="1">IF(ISERROR($V213),"",OFFSET('Smelter Look-up'!$G$4,$V213-4,0))</f>
        <v/>
      </c>
      <c r="I213" s="177" t="str">
        <f ca="1">IF(ISERROR($V213),"",OFFSET('Smelter Look-up'!$H$4,$V213-4,0))</f>
        <v/>
      </c>
      <c r="J213" s="177" t="str">
        <f ca="1">IF(ISERROR($V213),"",OFFSET('Smelter Look-up'!$I$4,$V213-4,0))</f>
        <v/>
      </c>
      <c r="K213" s="216"/>
      <c r="L213" s="216"/>
      <c r="M213" s="216"/>
      <c r="N213" s="216"/>
      <c r="O213" s="216"/>
      <c r="P213" s="178"/>
      <c r="Q213" s="217"/>
      <c r="R213" s="175" t="str">
        <f ca="1">IF(ISERROR($V213),"",OFFSET('Smelter Look-up'!$C$4,$V213-4,0)&amp;"")</f>
        <v/>
      </c>
      <c r="S213" s="174" t="str">
        <f t="shared" ca="1" si="30"/>
        <v/>
      </c>
      <c r="T213" s="174" t="str">
        <f ca="1">IF(B213="","",IF(ISERROR(MATCH($J213,SorP!$B$1:$B$6279,0)),"",INDIRECT("'SorP'!$A$"&amp;MATCH($S213&amp;$J213,SorP!C:C,0))))</f>
        <v/>
      </c>
      <c r="U213" s="194"/>
      <c r="V213" s="218" t="e">
        <f>IF(C213="",NA(),IF(OR(C213="Smelter not listed",C213="Smelter not yet identified"),MATCH($B213&amp;$D213,'Smelter Look-up'!$J:$J,0),MATCH($B213&amp;$C213,'Smelter Look-up'!$J:$J,0)))</f>
        <v>#N/A</v>
      </c>
      <c r="X213" s="219">
        <f t="shared" ca="1" si="31"/>
        <v>0</v>
      </c>
      <c r="AB213" s="220" t="str">
        <f t="shared" si="32"/>
        <v/>
      </c>
    </row>
    <row r="214" spans="1:28" s="219" customFormat="1" ht="20.25">
      <c r="A214" s="174"/>
      <c r="B214" s="175" t="str">
        <f>IF(LEN(A214)=0,"",INDEX('Smelter Look-up'!$A:$A,MATCH($A214,'Smelter Look-up'!$E:$E,0)))</f>
        <v/>
      </c>
      <c r="C214" s="179" t="str">
        <f>IF(LEN(A214)=0,"",INDEX('Smelter Look-up'!$C:$C,MATCH($A214,'Smelter Look-up'!$E:$E,0)))</f>
        <v/>
      </c>
      <c r="D214" s="222"/>
      <c r="E214" s="175" t="str">
        <f ca="1">IF(ISERROR($V214),"",OFFSET('Smelter Look-up'!$D$4,$V214-4,0)&amp;"")</f>
        <v/>
      </c>
      <c r="F214" s="175" t="str">
        <f ca="1">IF(ISERROR($V214),"",OFFSET('Smelter Look-up'!$E$4,$V214-4,0))</f>
        <v/>
      </c>
      <c r="G214" s="175" t="str">
        <f ca="1">IF(C214=$X$4,IF(ISERROR($V214),"Enter smelter details","RMI"),IF(ISERROR($V214),"",OFFSET('Smelter Look-up'!$F$4,$V214-4,0)))</f>
        <v/>
      </c>
      <c r="H214" s="176" t="str">
        <f ca="1">IF(ISERROR($V214),"",OFFSET('Smelter Look-up'!$G$4,$V214-4,0))</f>
        <v/>
      </c>
      <c r="I214" s="177" t="str">
        <f ca="1">IF(ISERROR($V214),"",OFFSET('Smelter Look-up'!$H$4,$V214-4,0))</f>
        <v/>
      </c>
      <c r="J214" s="177" t="str">
        <f ca="1">IF(ISERROR($V214),"",OFFSET('Smelter Look-up'!$I$4,$V214-4,0))</f>
        <v/>
      </c>
      <c r="K214" s="216"/>
      <c r="L214" s="216"/>
      <c r="M214" s="216"/>
      <c r="N214" s="216"/>
      <c r="O214" s="216"/>
      <c r="P214" s="178"/>
      <c r="Q214" s="217"/>
      <c r="R214" s="175" t="str">
        <f ca="1">IF(ISERROR($V214),"",OFFSET('Smelter Look-up'!$C$4,$V214-4,0)&amp;"")</f>
        <v/>
      </c>
      <c r="S214" s="174" t="str">
        <f t="shared" ca="1" si="30"/>
        <v/>
      </c>
      <c r="T214" s="174" t="str">
        <f ca="1">IF(B214="","",IF(ISERROR(MATCH($J214,SorP!$B$1:$B$6279,0)),"",INDIRECT("'SorP'!$A$"&amp;MATCH($S214&amp;$J214,SorP!C:C,0))))</f>
        <v/>
      </c>
      <c r="U214" s="194"/>
      <c r="V214" s="218" t="e">
        <f>IF(C214="",NA(),IF(OR(C214="Smelter not listed",C214="Smelter not yet identified"),MATCH($B214&amp;$D214,'Smelter Look-up'!$J:$J,0),MATCH($B214&amp;$C214,'Smelter Look-up'!$J:$J,0)))</f>
        <v>#N/A</v>
      </c>
      <c r="X214" s="219">
        <f t="shared" ca="1" si="31"/>
        <v>0</v>
      </c>
      <c r="AB214" s="220" t="str">
        <f t="shared" si="32"/>
        <v/>
      </c>
    </row>
    <row r="215" spans="1:28" s="219" customFormat="1" ht="20.25">
      <c r="A215" s="174"/>
      <c r="B215" s="175" t="str">
        <f>IF(LEN(A215)=0,"",INDEX('Smelter Look-up'!$A:$A,MATCH($A215,'Smelter Look-up'!$E:$E,0)))</f>
        <v/>
      </c>
      <c r="C215" s="179" t="str">
        <f>IF(LEN(A215)=0,"",INDEX('Smelter Look-up'!$C:$C,MATCH($A215,'Smelter Look-up'!$E:$E,0)))</f>
        <v/>
      </c>
      <c r="D215" s="222"/>
      <c r="E215" s="175" t="str">
        <f ca="1">IF(ISERROR($V215),"",OFFSET('Smelter Look-up'!$D$4,$V215-4,0)&amp;"")</f>
        <v/>
      </c>
      <c r="F215" s="175" t="str">
        <f ca="1">IF(ISERROR($V215),"",OFFSET('Smelter Look-up'!$E$4,$V215-4,0))</f>
        <v/>
      </c>
      <c r="G215" s="175" t="str">
        <f ca="1">IF(C215=$X$4,IF(ISERROR($V215),"Enter smelter details","RMI"),IF(ISERROR($V215),"",OFFSET('Smelter Look-up'!$F$4,$V215-4,0)))</f>
        <v/>
      </c>
      <c r="H215" s="176" t="str">
        <f ca="1">IF(ISERROR($V215),"",OFFSET('Smelter Look-up'!$G$4,$V215-4,0))</f>
        <v/>
      </c>
      <c r="I215" s="177" t="str">
        <f ca="1">IF(ISERROR($V215),"",OFFSET('Smelter Look-up'!$H$4,$V215-4,0))</f>
        <v/>
      </c>
      <c r="J215" s="177" t="str">
        <f ca="1">IF(ISERROR($V215),"",OFFSET('Smelter Look-up'!$I$4,$V215-4,0))</f>
        <v/>
      </c>
      <c r="K215" s="216"/>
      <c r="L215" s="216"/>
      <c r="M215" s="216"/>
      <c r="N215" s="216"/>
      <c r="O215" s="216"/>
      <c r="P215" s="178"/>
      <c r="Q215" s="217"/>
      <c r="R215" s="175" t="str">
        <f ca="1">IF(ISERROR($V215),"",OFFSET('Smelter Look-up'!$C$4,$V215-4,0)&amp;"")</f>
        <v/>
      </c>
      <c r="S215" s="174" t="str">
        <f t="shared" ca="1" si="30"/>
        <v/>
      </c>
      <c r="T215" s="174" t="str">
        <f ca="1">IF(B215="","",IF(ISERROR(MATCH($J215,SorP!$B$1:$B$6279,0)),"",INDIRECT("'SorP'!$A$"&amp;MATCH($S215&amp;$J215,SorP!C:C,0))))</f>
        <v/>
      </c>
      <c r="U215" s="194"/>
      <c r="V215" s="218" t="e">
        <f>IF(C215="",NA(),IF(OR(C215="Smelter not listed",C215="Smelter not yet identified"),MATCH($B215&amp;$D215,'Smelter Look-up'!$J:$J,0),MATCH($B215&amp;$C215,'Smelter Look-up'!$J:$J,0)))</f>
        <v>#N/A</v>
      </c>
      <c r="X215" s="219">
        <f t="shared" ca="1" si="31"/>
        <v>0</v>
      </c>
      <c r="AB215" s="220" t="str">
        <f t="shared" si="32"/>
        <v/>
      </c>
    </row>
    <row r="216" spans="1:28" s="219" customFormat="1" ht="20.25">
      <c r="A216" s="174"/>
      <c r="B216" s="175" t="str">
        <f>IF(LEN(A216)=0,"",INDEX('Smelter Look-up'!$A:$A,MATCH($A216,'Smelter Look-up'!$E:$E,0)))</f>
        <v/>
      </c>
      <c r="C216" s="179" t="str">
        <f>IF(LEN(A216)=0,"",INDEX('Smelter Look-up'!$C:$C,MATCH($A216,'Smelter Look-up'!$E:$E,0)))</f>
        <v/>
      </c>
      <c r="D216" s="222"/>
      <c r="E216" s="175" t="str">
        <f ca="1">IF(ISERROR($V216),"",OFFSET('Smelter Look-up'!$D$4,$V216-4,0)&amp;"")</f>
        <v/>
      </c>
      <c r="F216" s="175" t="str">
        <f ca="1">IF(ISERROR($V216),"",OFFSET('Smelter Look-up'!$E$4,$V216-4,0))</f>
        <v/>
      </c>
      <c r="G216" s="175" t="str">
        <f ca="1">IF(C216=$X$4,IF(ISERROR($V216),"Enter smelter details","RMI"),IF(ISERROR($V216),"",OFFSET('Smelter Look-up'!$F$4,$V216-4,0)))</f>
        <v/>
      </c>
      <c r="H216" s="176" t="str">
        <f ca="1">IF(ISERROR($V216),"",OFFSET('Smelter Look-up'!$G$4,$V216-4,0))</f>
        <v/>
      </c>
      <c r="I216" s="177" t="str">
        <f ca="1">IF(ISERROR($V216),"",OFFSET('Smelter Look-up'!$H$4,$V216-4,0))</f>
        <v/>
      </c>
      <c r="J216" s="177" t="str">
        <f ca="1">IF(ISERROR($V216),"",OFFSET('Smelter Look-up'!$I$4,$V216-4,0))</f>
        <v/>
      </c>
      <c r="K216" s="216"/>
      <c r="L216" s="216"/>
      <c r="M216" s="216"/>
      <c r="N216" s="216"/>
      <c r="O216" s="216"/>
      <c r="P216" s="178"/>
      <c r="Q216" s="217"/>
      <c r="R216" s="175" t="str">
        <f ca="1">IF(ISERROR($V216),"",OFFSET('Smelter Look-up'!$C$4,$V216-4,0)&amp;"")</f>
        <v/>
      </c>
      <c r="S216" s="174" t="str">
        <f t="shared" ca="1" si="30"/>
        <v/>
      </c>
      <c r="T216" s="174" t="str">
        <f ca="1">IF(B216="","",IF(ISERROR(MATCH($J216,SorP!$B$1:$B$6279,0)),"",INDIRECT("'SorP'!$A$"&amp;MATCH($S216&amp;$J216,SorP!C:C,0))))</f>
        <v/>
      </c>
      <c r="U216" s="194"/>
      <c r="V216" s="218" t="e">
        <f>IF(C216="",NA(),IF(OR(C216="Smelter not listed",C216="Smelter not yet identified"),MATCH($B216&amp;$D216,'Smelter Look-up'!$J:$J,0),MATCH($B216&amp;$C216,'Smelter Look-up'!$J:$J,0)))</f>
        <v>#N/A</v>
      </c>
      <c r="X216" s="219">
        <f t="shared" ca="1" si="31"/>
        <v>0</v>
      </c>
      <c r="AB216" s="220" t="str">
        <f t="shared" si="32"/>
        <v/>
      </c>
    </row>
    <row r="217" spans="1:28" s="219" customFormat="1" ht="20.25">
      <c r="A217" s="174"/>
      <c r="B217" s="175" t="str">
        <f>IF(LEN(A217)=0,"",INDEX('Smelter Look-up'!$A:$A,MATCH($A217,'Smelter Look-up'!$E:$E,0)))</f>
        <v/>
      </c>
      <c r="C217" s="179" t="str">
        <f>IF(LEN(A217)=0,"",INDEX('Smelter Look-up'!$C:$C,MATCH($A217,'Smelter Look-up'!$E:$E,0)))</f>
        <v/>
      </c>
      <c r="D217" s="222"/>
      <c r="E217" s="175" t="str">
        <f ca="1">IF(ISERROR($V217),"",OFFSET('Smelter Look-up'!$D$4,$V217-4,0)&amp;"")</f>
        <v/>
      </c>
      <c r="F217" s="175" t="str">
        <f ca="1">IF(ISERROR($V217),"",OFFSET('Smelter Look-up'!$E$4,$V217-4,0))</f>
        <v/>
      </c>
      <c r="G217" s="175" t="str">
        <f ca="1">IF(C217=$X$4,IF(ISERROR($V217),"Enter smelter details","RMI"),IF(ISERROR($V217),"",OFFSET('Smelter Look-up'!$F$4,$V217-4,0)))</f>
        <v/>
      </c>
      <c r="H217" s="176" t="str">
        <f ca="1">IF(ISERROR($V217),"",OFFSET('Smelter Look-up'!$G$4,$V217-4,0))</f>
        <v/>
      </c>
      <c r="I217" s="177" t="str">
        <f ca="1">IF(ISERROR($V217),"",OFFSET('Smelter Look-up'!$H$4,$V217-4,0))</f>
        <v/>
      </c>
      <c r="J217" s="177" t="str">
        <f ca="1">IF(ISERROR($V217),"",OFFSET('Smelter Look-up'!$I$4,$V217-4,0))</f>
        <v/>
      </c>
      <c r="K217" s="216"/>
      <c r="L217" s="216"/>
      <c r="M217" s="216"/>
      <c r="N217" s="216"/>
      <c r="O217" s="216"/>
      <c r="P217" s="178"/>
      <c r="Q217" s="217"/>
      <c r="R217" s="175" t="str">
        <f ca="1">IF(ISERROR($V217),"",OFFSET('Smelter Look-up'!$C$4,$V217-4,0)&amp;"")</f>
        <v/>
      </c>
      <c r="S217" s="174" t="str">
        <f t="shared" ca="1" si="30"/>
        <v/>
      </c>
      <c r="T217" s="174" t="str">
        <f ca="1">IF(B217="","",IF(ISERROR(MATCH($J217,SorP!$B$1:$B$6279,0)),"",INDIRECT("'SorP'!$A$"&amp;MATCH($S217&amp;$J217,SorP!C:C,0))))</f>
        <v/>
      </c>
      <c r="U217" s="194"/>
      <c r="V217" s="218" t="e">
        <f>IF(C217="",NA(),IF(OR(C217="Smelter not listed",C217="Smelter not yet identified"),MATCH($B217&amp;$D217,'Smelter Look-up'!$J:$J,0),MATCH($B217&amp;$C217,'Smelter Look-up'!$J:$J,0)))</f>
        <v>#N/A</v>
      </c>
      <c r="X217" s="219">
        <f t="shared" ca="1" si="31"/>
        <v>0</v>
      </c>
      <c r="AB217" s="220" t="str">
        <f t="shared" si="32"/>
        <v/>
      </c>
    </row>
    <row r="218" spans="1:28" s="219" customFormat="1" ht="20.25">
      <c r="A218" s="174"/>
      <c r="B218" s="175" t="str">
        <f>IF(LEN(A218)=0,"",INDEX('Smelter Look-up'!$A:$A,MATCH($A218,'Smelter Look-up'!$E:$E,0)))</f>
        <v/>
      </c>
      <c r="C218" s="179" t="str">
        <f>IF(LEN(A218)=0,"",INDEX('Smelter Look-up'!$C:$C,MATCH($A218,'Smelter Look-up'!$E:$E,0)))</f>
        <v/>
      </c>
      <c r="D218" s="222"/>
      <c r="E218" s="175" t="str">
        <f ca="1">IF(ISERROR($V218),"",OFFSET('Smelter Look-up'!$D$4,$V218-4,0)&amp;"")</f>
        <v/>
      </c>
      <c r="F218" s="175" t="str">
        <f ca="1">IF(ISERROR($V218),"",OFFSET('Smelter Look-up'!$E$4,$V218-4,0))</f>
        <v/>
      </c>
      <c r="G218" s="175" t="str">
        <f ca="1">IF(C218=$X$4,IF(ISERROR($V218),"Enter smelter details","RMI"),IF(ISERROR($V218),"",OFFSET('Smelter Look-up'!$F$4,$V218-4,0)))</f>
        <v/>
      </c>
      <c r="H218" s="176" t="str">
        <f ca="1">IF(ISERROR($V218),"",OFFSET('Smelter Look-up'!$G$4,$V218-4,0))</f>
        <v/>
      </c>
      <c r="I218" s="177" t="str">
        <f ca="1">IF(ISERROR($V218),"",OFFSET('Smelter Look-up'!$H$4,$V218-4,0))</f>
        <v/>
      </c>
      <c r="J218" s="177" t="str">
        <f ca="1">IF(ISERROR($V218),"",OFFSET('Smelter Look-up'!$I$4,$V218-4,0))</f>
        <v/>
      </c>
      <c r="K218" s="216"/>
      <c r="L218" s="216"/>
      <c r="M218" s="216"/>
      <c r="N218" s="216"/>
      <c r="O218" s="216"/>
      <c r="P218" s="178"/>
      <c r="Q218" s="217"/>
      <c r="R218" s="175" t="str">
        <f ca="1">IF(ISERROR($V218),"",OFFSET('Smelter Look-up'!$C$4,$V218-4,0)&amp;"")</f>
        <v/>
      </c>
      <c r="S218" s="174" t="str">
        <f t="shared" ca="1" si="30"/>
        <v/>
      </c>
      <c r="T218" s="174" t="str">
        <f ca="1">IF(B218="","",IF(ISERROR(MATCH($J218,SorP!$B$1:$B$6279,0)),"",INDIRECT("'SorP'!$A$"&amp;MATCH($S218&amp;$J218,SorP!C:C,0))))</f>
        <v/>
      </c>
      <c r="U218" s="194"/>
      <c r="V218" s="218" t="e">
        <f>IF(C218="",NA(),IF(OR(C218="Smelter not listed",C218="Smelter not yet identified"),MATCH($B218&amp;$D218,'Smelter Look-up'!$J:$J,0),MATCH($B218&amp;$C218,'Smelter Look-up'!$J:$J,0)))</f>
        <v>#N/A</v>
      </c>
      <c r="X218" s="219">
        <f t="shared" ca="1" si="31"/>
        <v>0</v>
      </c>
      <c r="AB218" s="220" t="str">
        <f t="shared" si="32"/>
        <v/>
      </c>
    </row>
    <row r="219" spans="1:28" s="219" customFormat="1" ht="20.25">
      <c r="A219" s="174"/>
      <c r="B219" s="175" t="str">
        <f>IF(LEN(A219)=0,"",INDEX('Smelter Look-up'!$A:$A,MATCH($A219,'Smelter Look-up'!$E:$E,0)))</f>
        <v/>
      </c>
      <c r="C219" s="179" t="str">
        <f>IF(LEN(A219)=0,"",INDEX('Smelter Look-up'!$C:$C,MATCH($A219,'Smelter Look-up'!$E:$E,0)))</f>
        <v/>
      </c>
      <c r="D219" s="222"/>
      <c r="E219" s="175" t="str">
        <f ca="1">IF(ISERROR($V219),"",OFFSET('Smelter Look-up'!$D$4,$V219-4,0)&amp;"")</f>
        <v/>
      </c>
      <c r="F219" s="175" t="str">
        <f ca="1">IF(ISERROR($V219),"",OFFSET('Smelter Look-up'!$E$4,$V219-4,0))</f>
        <v/>
      </c>
      <c r="G219" s="175" t="str">
        <f ca="1">IF(C219=$X$4,IF(ISERROR($V219),"Enter smelter details","RMI"),IF(ISERROR($V219),"",OFFSET('Smelter Look-up'!$F$4,$V219-4,0)))</f>
        <v/>
      </c>
      <c r="H219" s="176" t="str">
        <f ca="1">IF(ISERROR($V219),"",OFFSET('Smelter Look-up'!$G$4,$V219-4,0))</f>
        <v/>
      </c>
      <c r="I219" s="177" t="str">
        <f ca="1">IF(ISERROR($V219),"",OFFSET('Smelter Look-up'!$H$4,$V219-4,0))</f>
        <v/>
      </c>
      <c r="J219" s="177" t="str">
        <f ca="1">IF(ISERROR($V219),"",OFFSET('Smelter Look-up'!$I$4,$V219-4,0))</f>
        <v/>
      </c>
      <c r="K219" s="216"/>
      <c r="L219" s="216"/>
      <c r="M219" s="216"/>
      <c r="N219" s="216"/>
      <c r="O219" s="216"/>
      <c r="P219" s="178"/>
      <c r="Q219" s="217"/>
      <c r="R219" s="175" t="str">
        <f ca="1">IF(ISERROR($V219),"",OFFSET('Smelter Look-up'!$C$4,$V219-4,0)&amp;"")</f>
        <v/>
      </c>
      <c r="S219" s="174" t="str">
        <f t="shared" ca="1" si="30"/>
        <v/>
      </c>
      <c r="T219" s="174" t="str">
        <f ca="1">IF(B219="","",IF(ISERROR(MATCH($J219,SorP!$B$1:$B$6279,0)),"",INDIRECT("'SorP'!$A$"&amp;MATCH($S219&amp;$J219,SorP!C:C,0))))</f>
        <v/>
      </c>
      <c r="U219" s="194"/>
      <c r="V219" s="218" t="e">
        <f>IF(C219="",NA(),IF(OR(C219="Smelter not listed",C219="Smelter not yet identified"),MATCH($B219&amp;$D219,'Smelter Look-up'!$J:$J,0),MATCH($B219&amp;$C219,'Smelter Look-up'!$J:$J,0)))</f>
        <v>#N/A</v>
      </c>
      <c r="X219" s="219">
        <f t="shared" ca="1" si="31"/>
        <v>0</v>
      </c>
      <c r="AB219" s="220" t="str">
        <f t="shared" si="32"/>
        <v/>
      </c>
    </row>
    <row r="220" spans="1:28" s="219" customFormat="1" ht="20.25">
      <c r="A220" s="174"/>
      <c r="B220" s="175" t="str">
        <f>IF(LEN(A220)=0,"",INDEX('Smelter Look-up'!$A:$A,MATCH($A220,'Smelter Look-up'!$E:$E,0)))</f>
        <v/>
      </c>
      <c r="C220" s="179" t="str">
        <f>IF(LEN(A220)=0,"",INDEX('Smelter Look-up'!$C:$C,MATCH($A220,'Smelter Look-up'!$E:$E,0)))</f>
        <v/>
      </c>
      <c r="D220" s="222"/>
      <c r="E220" s="175" t="str">
        <f ca="1">IF(ISERROR($V220),"",OFFSET('Smelter Look-up'!$D$4,$V220-4,0)&amp;"")</f>
        <v/>
      </c>
      <c r="F220" s="175" t="str">
        <f ca="1">IF(ISERROR($V220),"",OFFSET('Smelter Look-up'!$E$4,$V220-4,0))</f>
        <v/>
      </c>
      <c r="G220" s="175" t="str">
        <f ca="1">IF(C220=$X$4,IF(ISERROR($V220),"Enter smelter details","RMI"),IF(ISERROR($V220),"",OFFSET('Smelter Look-up'!$F$4,$V220-4,0)))</f>
        <v/>
      </c>
      <c r="H220" s="176" t="str">
        <f ca="1">IF(ISERROR($V220),"",OFFSET('Smelter Look-up'!$G$4,$V220-4,0))</f>
        <v/>
      </c>
      <c r="I220" s="177" t="str">
        <f ca="1">IF(ISERROR($V220),"",OFFSET('Smelter Look-up'!$H$4,$V220-4,0))</f>
        <v/>
      </c>
      <c r="J220" s="177" t="str">
        <f ca="1">IF(ISERROR($V220),"",OFFSET('Smelter Look-up'!$I$4,$V220-4,0))</f>
        <v/>
      </c>
      <c r="K220" s="216"/>
      <c r="L220" s="216"/>
      <c r="M220" s="216"/>
      <c r="N220" s="216"/>
      <c r="O220" s="216"/>
      <c r="P220" s="178"/>
      <c r="Q220" s="217"/>
      <c r="R220" s="175" t="str">
        <f ca="1">IF(ISERROR($V220),"",OFFSET('Smelter Look-up'!$C$4,$V220-4,0)&amp;"")</f>
        <v/>
      </c>
      <c r="S220" s="174" t="str">
        <f t="shared" ca="1" si="30"/>
        <v/>
      </c>
      <c r="T220" s="174" t="str">
        <f ca="1">IF(B220="","",IF(ISERROR(MATCH($J220,SorP!$B$1:$B$6279,0)),"",INDIRECT("'SorP'!$A$"&amp;MATCH($S220&amp;$J220,SorP!C:C,0))))</f>
        <v/>
      </c>
      <c r="U220" s="194"/>
      <c r="V220" s="218" t="e">
        <f>IF(C220="",NA(),IF(OR(C220="Smelter not listed",C220="Smelter not yet identified"),MATCH($B220&amp;$D220,'Smelter Look-up'!$J:$J,0),MATCH($B220&amp;$C220,'Smelter Look-up'!$J:$J,0)))</f>
        <v>#N/A</v>
      </c>
      <c r="X220" s="219">
        <f t="shared" ca="1" si="31"/>
        <v>0</v>
      </c>
      <c r="AB220" s="220" t="str">
        <f t="shared" si="32"/>
        <v/>
      </c>
    </row>
    <row r="221" spans="1:28" s="219" customFormat="1" ht="20.25">
      <c r="A221" s="174"/>
      <c r="B221" s="175" t="str">
        <f>IF(LEN(A221)=0,"",INDEX('Smelter Look-up'!$A:$A,MATCH($A221,'Smelter Look-up'!$E:$E,0)))</f>
        <v/>
      </c>
      <c r="C221" s="179" t="str">
        <f>IF(LEN(A221)=0,"",INDEX('Smelter Look-up'!$C:$C,MATCH($A221,'Smelter Look-up'!$E:$E,0)))</f>
        <v/>
      </c>
      <c r="D221" s="222"/>
      <c r="E221" s="175" t="str">
        <f ca="1">IF(ISERROR($V221),"",OFFSET('Smelter Look-up'!$D$4,$V221-4,0)&amp;"")</f>
        <v/>
      </c>
      <c r="F221" s="175" t="str">
        <f ca="1">IF(ISERROR($V221),"",OFFSET('Smelter Look-up'!$E$4,$V221-4,0))</f>
        <v/>
      </c>
      <c r="G221" s="175" t="str">
        <f ca="1">IF(C221=$X$4,IF(ISERROR($V221),"Enter smelter details","RMI"),IF(ISERROR($V221),"",OFFSET('Smelter Look-up'!$F$4,$V221-4,0)))</f>
        <v/>
      </c>
      <c r="H221" s="176" t="str">
        <f ca="1">IF(ISERROR($V221),"",OFFSET('Smelter Look-up'!$G$4,$V221-4,0))</f>
        <v/>
      </c>
      <c r="I221" s="177" t="str">
        <f ca="1">IF(ISERROR($V221),"",OFFSET('Smelter Look-up'!$H$4,$V221-4,0))</f>
        <v/>
      </c>
      <c r="J221" s="177" t="str">
        <f ca="1">IF(ISERROR($V221),"",OFFSET('Smelter Look-up'!$I$4,$V221-4,0))</f>
        <v/>
      </c>
      <c r="K221" s="216"/>
      <c r="L221" s="216"/>
      <c r="M221" s="216"/>
      <c r="N221" s="216"/>
      <c r="O221" s="216"/>
      <c r="P221" s="178"/>
      <c r="Q221" s="217"/>
      <c r="R221" s="175" t="str">
        <f ca="1">IF(ISERROR($V221),"",OFFSET('Smelter Look-up'!$C$4,$V221-4,0)&amp;"")</f>
        <v/>
      </c>
      <c r="S221" s="174" t="str">
        <f t="shared" ca="1" si="30"/>
        <v/>
      </c>
      <c r="T221" s="174" t="str">
        <f ca="1">IF(B221="","",IF(ISERROR(MATCH($J221,SorP!$B$1:$B$6279,0)),"",INDIRECT("'SorP'!$A$"&amp;MATCH($S221&amp;$J221,SorP!C:C,0))))</f>
        <v/>
      </c>
      <c r="U221" s="194"/>
      <c r="V221" s="218" t="e">
        <f>IF(C221="",NA(),IF(OR(C221="Smelter not listed",C221="Smelter not yet identified"),MATCH($B221&amp;$D221,'Smelter Look-up'!$J:$J,0),MATCH($B221&amp;$C221,'Smelter Look-up'!$J:$J,0)))</f>
        <v>#N/A</v>
      </c>
      <c r="X221" s="219">
        <f t="shared" ca="1" si="31"/>
        <v>0</v>
      </c>
      <c r="AB221" s="220" t="str">
        <f t="shared" si="32"/>
        <v/>
      </c>
    </row>
    <row r="222" spans="1:28" s="219" customFormat="1" ht="20.25">
      <c r="A222" s="174"/>
      <c r="B222" s="175" t="str">
        <f>IF(LEN(A222)=0,"",INDEX('Smelter Look-up'!$A:$A,MATCH($A222,'Smelter Look-up'!$E:$E,0)))</f>
        <v/>
      </c>
      <c r="C222" s="179" t="str">
        <f>IF(LEN(A222)=0,"",INDEX('Smelter Look-up'!$C:$C,MATCH($A222,'Smelter Look-up'!$E:$E,0)))</f>
        <v/>
      </c>
      <c r="D222" s="222"/>
      <c r="E222" s="175" t="str">
        <f ca="1">IF(ISERROR($V222),"",OFFSET('Smelter Look-up'!$D$4,$V222-4,0)&amp;"")</f>
        <v/>
      </c>
      <c r="F222" s="175" t="str">
        <f ca="1">IF(ISERROR($V222),"",OFFSET('Smelter Look-up'!$E$4,$V222-4,0))</f>
        <v/>
      </c>
      <c r="G222" s="175" t="str">
        <f ca="1">IF(C222=$X$4,IF(ISERROR($V222),"Enter smelter details","RMI"),IF(ISERROR($V222),"",OFFSET('Smelter Look-up'!$F$4,$V222-4,0)))</f>
        <v/>
      </c>
      <c r="H222" s="176" t="str">
        <f ca="1">IF(ISERROR($V222),"",OFFSET('Smelter Look-up'!$G$4,$V222-4,0))</f>
        <v/>
      </c>
      <c r="I222" s="177" t="str">
        <f ca="1">IF(ISERROR($V222),"",OFFSET('Smelter Look-up'!$H$4,$V222-4,0))</f>
        <v/>
      </c>
      <c r="J222" s="177" t="str">
        <f ca="1">IF(ISERROR($V222),"",OFFSET('Smelter Look-up'!$I$4,$V222-4,0))</f>
        <v/>
      </c>
      <c r="K222" s="216"/>
      <c r="L222" s="216"/>
      <c r="M222" s="216"/>
      <c r="N222" s="216"/>
      <c r="O222" s="216"/>
      <c r="P222" s="178"/>
      <c r="Q222" s="217"/>
      <c r="R222" s="175" t="str">
        <f ca="1">IF(ISERROR($V222),"",OFFSET('Smelter Look-up'!$C$4,$V222-4,0)&amp;"")</f>
        <v/>
      </c>
      <c r="S222" s="174" t="str">
        <f t="shared" ca="1" si="30"/>
        <v/>
      </c>
      <c r="T222" s="174" t="str">
        <f ca="1">IF(B222="","",IF(ISERROR(MATCH($J222,SorP!$B$1:$B$6279,0)),"",INDIRECT("'SorP'!$A$"&amp;MATCH($S222&amp;$J222,SorP!C:C,0))))</f>
        <v/>
      </c>
      <c r="U222" s="194"/>
      <c r="V222" s="218" t="e">
        <f>IF(C222="",NA(),IF(OR(C222="Smelter not listed",C222="Smelter not yet identified"),MATCH($B222&amp;$D222,'Smelter Look-up'!$J:$J,0),MATCH($B222&amp;$C222,'Smelter Look-up'!$J:$J,0)))</f>
        <v>#N/A</v>
      </c>
      <c r="X222" s="219">
        <f t="shared" ca="1" si="31"/>
        <v>0</v>
      </c>
      <c r="AB222" s="220" t="str">
        <f t="shared" si="32"/>
        <v/>
      </c>
    </row>
    <row r="223" spans="1:28" s="219" customFormat="1" ht="20.25">
      <c r="A223" s="174"/>
      <c r="B223" s="175" t="str">
        <f>IF(LEN(A223)=0,"",INDEX('Smelter Look-up'!$A:$A,MATCH($A223,'Smelter Look-up'!$E:$E,0)))</f>
        <v/>
      </c>
      <c r="C223" s="179" t="str">
        <f>IF(LEN(A223)=0,"",INDEX('Smelter Look-up'!$C:$C,MATCH($A223,'Smelter Look-up'!$E:$E,0)))</f>
        <v/>
      </c>
      <c r="D223" s="222"/>
      <c r="E223" s="175" t="str">
        <f ca="1">IF(ISERROR($V223),"",OFFSET('Smelter Look-up'!$D$4,$V223-4,0)&amp;"")</f>
        <v/>
      </c>
      <c r="F223" s="175" t="str">
        <f ca="1">IF(ISERROR($V223),"",OFFSET('Smelter Look-up'!$E$4,$V223-4,0))</f>
        <v/>
      </c>
      <c r="G223" s="175" t="str">
        <f ca="1">IF(C223=$X$4,IF(ISERROR($V223),"Enter smelter details","RMI"),IF(ISERROR($V223),"",OFFSET('Smelter Look-up'!$F$4,$V223-4,0)))</f>
        <v/>
      </c>
      <c r="H223" s="176" t="str">
        <f ca="1">IF(ISERROR($V223),"",OFFSET('Smelter Look-up'!$G$4,$V223-4,0))</f>
        <v/>
      </c>
      <c r="I223" s="177" t="str">
        <f ca="1">IF(ISERROR($V223),"",OFFSET('Smelter Look-up'!$H$4,$V223-4,0))</f>
        <v/>
      </c>
      <c r="J223" s="177" t="str">
        <f ca="1">IF(ISERROR($V223),"",OFFSET('Smelter Look-up'!$I$4,$V223-4,0))</f>
        <v/>
      </c>
      <c r="K223" s="216"/>
      <c r="L223" s="216"/>
      <c r="M223" s="216"/>
      <c r="N223" s="216"/>
      <c r="O223" s="216"/>
      <c r="P223" s="178"/>
      <c r="Q223" s="217"/>
      <c r="R223" s="175" t="str">
        <f ca="1">IF(ISERROR($V223),"",OFFSET('Smelter Look-up'!$C$4,$V223-4,0)&amp;"")</f>
        <v/>
      </c>
      <c r="S223" s="174" t="str">
        <f t="shared" ca="1" si="30"/>
        <v/>
      </c>
      <c r="T223" s="174" t="str">
        <f ca="1">IF(B223="","",IF(ISERROR(MATCH($J223,SorP!$B$1:$B$6279,0)),"",INDIRECT("'SorP'!$A$"&amp;MATCH($S223&amp;$J223,SorP!C:C,0))))</f>
        <v/>
      </c>
      <c r="U223" s="194"/>
      <c r="V223" s="218" t="e">
        <f>IF(C223="",NA(),IF(OR(C223="Smelter not listed",C223="Smelter not yet identified"),MATCH($B223&amp;$D223,'Smelter Look-up'!$J:$J,0),MATCH($B223&amp;$C223,'Smelter Look-up'!$J:$J,0)))</f>
        <v>#N/A</v>
      </c>
      <c r="X223" s="219">
        <f t="shared" ca="1" si="31"/>
        <v>0</v>
      </c>
      <c r="AB223" s="220" t="str">
        <f t="shared" si="32"/>
        <v/>
      </c>
    </row>
    <row r="224" spans="1:28" s="219" customFormat="1" ht="20.25">
      <c r="A224" s="174"/>
      <c r="B224" s="175" t="str">
        <f>IF(LEN(A224)=0,"",INDEX('Smelter Look-up'!$A:$A,MATCH($A224,'Smelter Look-up'!$E:$E,0)))</f>
        <v/>
      </c>
      <c r="C224" s="179" t="str">
        <f>IF(LEN(A224)=0,"",INDEX('Smelter Look-up'!$C:$C,MATCH($A224,'Smelter Look-up'!$E:$E,0)))</f>
        <v/>
      </c>
      <c r="D224" s="222"/>
      <c r="E224" s="175" t="str">
        <f ca="1">IF(ISERROR($V224),"",OFFSET('Smelter Look-up'!$D$4,$V224-4,0)&amp;"")</f>
        <v/>
      </c>
      <c r="F224" s="175" t="str">
        <f ca="1">IF(ISERROR($V224),"",OFFSET('Smelter Look-up'!$E$4,$V224-4,0))</f>
        <v/>
      </c>
      <c r="G224" s="175" t="str">
        <f ca="1">IF(C224=$X$4,IF(ISERROR($V224),"Enter smelter details","RMI"),IF(ISERROR($V224),"",OFFSET('Smelter Look-up'!$F$4,$V224-4,0)))</f>
        <v/>
      </c>
      <c r="H224" s="176" t="str">
        <f ca="1">IF(ISERROR($V224),"",OFFSET('Smelter Look-up'!$G$4,$V224-4,0))</f>
        <v/>
      </c>
      <c r="I224" s="177" t="str">
        <f ca="1">IF(ISERROR($V224),"",OFFSET('Smelter Look-up'!$H$4,$V224-4,0))</f>
        <v/>
      </c>
      <c r="J224" s="177" t="str">
        <f ca="1">IF(ISERROR($V224),"",OFFSET('Smelter Look-up'!$I$4,$V224-4,0))</f>
        <v/>
      </c>
      <c r="K224" s="216"/>
      <c r="L224" s="216"/>
      <c r="M224" s="216"/>
      <c r="N224" s="216"/>
      <c r="O224" s="216"/>
      <c r="P224" s="178"/>
      <c r="Q224" s="217"/>
      <c r="R224" s="175" t="str">
        <f ca="1">IF(ISERROR($V224),"",OFFSET('Smelter Look-up'!$C$4,$V224-4,0)&amp;"")</f>
        <v/>
      </c>
      <c r="S224" s="174" t="str">
        <f t="shared" ca="1" si="30"/>
        <v/>
      </c>
      <c r="T224" s="174" t="str">
        <f ca="1">IF(B224="","",IF(ISERROR(MATCH($J224,SorP!$B$1:$B$6279,0)),"",INDIRECT("'SorP'!$A$"&amp;MATCH($S224&amp;$J224,SorP!C:C,0))))</f>
        <v/>
      </c>
      <c r="U224" s="194"/>
      <c r="V224" s="218" t="e">
        <f>IF(C224="",NA(),IF(OR(C224="Smelter not listed",C224="Smelter not yet identified"),MATCH($B224&amp;$D224,'Smelter Look-up'!$J:$J,0),MATCH($B224&amp;$C224,'Smelter Look-up'!$J:$J,0)))</f>
        <v>#N/A</v>
      </c>
      <c r="X224" s="219">
        <f t="shared" ca="1" si="31"/>
        <v>0</v>
      </c>
      <c r="AB224" s="220" t="str">
        <f t="shared" si="32"/>
        <v/>
      </c>
    </row>
    <row r="225" spans="1:28" s="219" customFormat="1" ht="20.25">
      <c r="A225" s="174"/>
      <c r="B225" s="175" t="str">
        <f>IF(LEN(A225)=0,"",INDEX('Smelter Look-up'!$A:$A,MATCH($A225,'Smelter Look-up'!$E:$E,0)))</f>
        <v/>
      </c>
      <c r="C225" s="179" t="str">
        <f>IF(LEN(A225)=0,"",INDEX('Smelter Look-up'!$C:$C,MATCH($A225,'Smelter Look-up'!$E:$E,0)))</f>
        <v/>
      </c>
      <c r="D225" s="222"/>
      <c r="E225" s="175" t="str">
        <f ca="1">IF(ISERROR($V225),"",OFFSET('Smelter Look-up'!$D$4,$V225-4,0)&amp;"")</f>
        <v/>
      </c>
      <c r="F225" s="175" t="str">
        <f ca="1">IF(ISERROR($V225),"",OFFSET('Smelter Look-up'!$E$4,$V225-4,0))</f>
        <v/>
      </c>
      <c r="G225" s="175" t="str">
        <f ca="1">IF(C225=$X$4,IF(ISERROR($V225),"Enter smelter details","RMI"),IF(ISERROR($V225),"",OFFSET('Smelter Look-up'!$F$4,$V225-4,0)))</f>
        <v/>
      </c>
      <c r="H225" s="176" t="str">
        <f ca="1">IF(ISERROR($V225),"",OFFSET('Smelter Look-up'!$G$4,$V225-4,0))</f>
        <v/>
      </c>
      <c r="I225" s="177" t="str">
        <f ca="1">IF(ISERROR($V225),"",OFFSET('Smelter Look-up'!$H$4,$V225-4,0))</f>
        <v/>
      </c>
      <c r="J225" s="177" t="str">
        <f ca="1">IF(ISERROR($V225),"",OFFSET('Smelter Look-up'!$I$4,$V225-4,0))</f>
        <v/>
      </c>
      <c r="K225" s="216"/>
      <c r="L225" s="216"/>
      <c r="M225" s="216"/>
      <c r="N225" s="216"/>
      <c r="O225" s="216"/>
      <c r="P225" s="178"/>
      <c r="Q225" s="217"/>
      <c r="R225" s="175" t="str">
        <f ca="1">IF(ISERROR($V225),"",OFFSET('Smelter Look-up'!$C$4,$V225-4,0)&amp;"")</f>
        <v/>
      </c>
      <c r="S225" s="174" t="str">
        <f t="shared" ca="1" si="30"/>
        <v/>
      </c>
      <c r="T225" s="174" t="str">
        <f ca="1">IF(B225="","",IF(ISERROR(MATCH($J225,SorP!$B$1:$B$6279,0)),"",INDIRECT("'SorP'!$A$"&amp;MATCH($S225&amp;$J225,SorP!C:C,0))))</f>
        <v/>
      </c>
      <c r="U225" s="194"/>
      <c r="V225" s="218" t="e">
        <f>IF(C225="",NA(),IF(OR(C225="Smelter not listed",C225="Smelter not yet identified"),MATCH($B225&amp;$D225,'Smelter Look-up'!$J:$J,0),MATCH($B225&amp;$C225,'Smelter Look-up'!$J:$J,0)))</f>
        <v>#N/A</v>
      </c>
      <c r="X225" s="219">
        <f t="shared" ca="1" si="31"/>
        <v>0</v>
      </c>
      <c r="AB225" s="220" t="str">
        <f t="shared" si="32"/>
        <v/>
      </c>
    </row>
    <row r="226" spans="1:28" s="219" customFormat="1" ht="20.25">
      <c r="A226" s="174"/>
      <c r="B226" s="175" t="str">
        <f>IF(LEN(A226)=0,"",INDEX('Smelter Look-up'!$A:$A,MATCH($A226,'Smelter Look-up'!$E:$E,0)))</f>
        <v/>
      </c>
      <c r="C226" s="179" t="str">
        <f>IF(LEN(A226)=0,"",INDEX('Smelter Look-up'!$C:$C,MATCH($A226,'Smelter Look-up'!$E:$E,0)))</f>
        <v/>
      </c>
      <c r="D226" s="222"/>
      <c r="E226" s="175" t="str">
        <f ca="1">IF(ISERROR($V226),"",OFFSET('Smelter Look-up'!$D$4,$V226-4,0)&amp;"")</f>
        <v/>
      </c>
      <c r="F226" s="175" t="str">
        <f ca="1">IF(ISERROR($V226),"",OFFSET('Smelter Look-up'!$E$4,$V226-4,0))</f>
        <v/>
      </c>
      <c r="G226" s="175" t="str">
        <f ca="1">IF(C226=$X$4,IF(ISERROR($V226),"Enter smelter details","RMI"),IF(ISERROR($V226),"",OFFSET('Smelter Look-up'!$F$4,$V226-4,0)))</f>
        <v/>
      </c>
      <c r="H226" s="176" t="str">
        <f ca="1">IF(ISERROR($V226),"",OFFSET('Smelter Look-up'!$G$4,$V226-4,0))</f>
        <v/>
      </c>
      <c r="I226" s="177" t="str">
        <f ca="1">IF(ISERROR($V226),"",OFFSET('Smelter Look-up'!$H$4,$V226-4,0))</f>
        <v/>
      </c>
      <c r="J226" s="177" t="str">
        <f ca="1">IF(ISERROR($V226),"",OFFSET('Smelter Look-up'!$I$4,$V226-4,0))</f>
        <v/>
      </c>
      <c r="K226" s="216"/>
      <c r="L226" s="216"/>
      <c r="M226" s="216"/>
      <c r="N226" s="216"/>
      <c r="O226" s="216"/>
      <c r="P226" s="178"/>
      <c r="Q226" s="217"/>
      <c r="R226" s="175" t="str">
        <f ca="1">IF(ISERROR($V226),"",OFFSET('Smelter Look-up'!$C$4,$V226-4,0)&amp;"")</f>
        <v/>
      </c>
      <c r="S226" s="174" t="str">
        <f t="shared" ca="1" si="30"/>
        <v/>
      </c>
      <c r="T226" s="174" t="str">
        <f ca="1">IF(B226="","",IF(ISERROR(MATCH($J226,SorP!$B$1:$B$6279,0)),"",INDIRECT("'SorP'!$A$"&amp;MATCH($S226&amp;$J226,SorP!C:C,0))))</f>
        <v/>
      </c>
      <c r="U226" s="194"/>
      <c r="V226" s="218" t="e">
        <f>IF(C226="",NA(),IF(OR(C226="Smelter not listed",C226="Smelter not yet identified"),MATCH($B226&amp;$D226,'Smelter Look-up'!$J:$J,0),MATCH($B226&amp;$C226,'Smelter Look-up'!$J:$J,0)))</f>
        <v>#N/A</v>
      </c>
      <c r="X226" s="219">
        <f t="shared" ca="1" si="31"/>
        <v>0</v>
      </c>
      <c r="AB226" s="220" t="str">
        <f t="shared" si="32"/>
        <v/>
      </c>
    </row>
    <row r="227" spans="1:28" s="219" customFormat="1" ht="20.25">
      <c r="A227" s="174"/>
      <c r="B227" s="175" t="str">
        <f>IF(LEN(A227)=0,"",INDEX('Smelter Look-up'!$A:$A,MATCH($A227,'Smelter Look-up'!$E:$E,0)))</f>
        <v/>
      </c>
      <c r="C227" s="179" t="str">
        <f>IF(LEN(A227)=0,"",INDEX('Smelter Look-up'!$C:$C,MATCH($A227,'Smelter Look-up'!$E:$E,0)))</f>
        <v/>
      </c>
      <c r="D227" s="222"/>
      <c r="E227" s="175" t="str">
        <f ca="1">IF(ISERROR($V227),"",OFFSET('Smelter Look-up'!$D$4,$V227-4,0)&amp;"")</f>
        <v/>
      </c>
      <c r="F227" s="175" t="str">
        <f ca="1">IF(ISERROR($V227),"",OFFSET('Smelter Look-up'!$E$4,$V227-4,0))</f>
        <v/>
      </c>
      <c r="G227" s="175" t="str">
        <f ca="1">IF(C227=$X$4,IF(ISERROR($V227),"Enter smelter details","RMI"),IF(ISERROR($V227),"",OFFSET('Smelter Look-up'!$F$4,$V227-4,0)))</f>
        <v/>
      </c>
      <c r="H227" s="176" t="str">
        <f ca="1">IF(ISERROR($V227),"",OFFSET('Smelter Look-up'!$G$4,$V227-4,0))</f>
        <v/>
      </c>
      <c r="I227" s="177" t="str">
        <f ca="1">IF(ISERROR($V227),"",OFFSET('Smelter Look-up'!$H$4,$V227-4,0))</f>
        <v/>
      </c>
      <c r="J227" s="177" t="str">
        <f ca="1">IF(ISERROR($V227),"",OFFSET('Smelter Look-up'!$I$4,$V227-4,0))</f>
        <v/>
      </c>
      <c r="K227" s="216"/>
      <c r="L227" s="216"/>
      <c r="M227" s="216"/>
      <c r="N227" s="216"/>
      <c r="O227" s="216"/>
      <c r="P227" s="178"/>
      <c r="Q227" s="217"/>
      <c r="R227" s="175" t="str">
        <f ca="1">IF(ISERROR($V227),"",OFFSET('Smelter Look-up'!$C$4,$V227-4,0)&amp;"")</f>
        <v/>
      </c>
      <c r="S227" s="174" t="str">
        <f t="shared" ca="1" si="30"/>
        <v/>
      </c>
      <c r="T227" s="174" t="str">
        <f ca="1">IF(B227="","",IF(ISERROR(MATCH($J227,SorP!$B$1:$B$6279,0)),"",INDIRECT("'SorP'!$A$"&amp;MATCH($S227&amp;$J227,SorP!C:C,0))))</f>
        <v/>
      </c>
      <c r="U227" s="194"/>
      <c r="V227" s="218" t="e">
        <f>IF(C227="",NA(),IF(OR(C227="Smelter not listed",C227="Smelter not yet identified"),MATCH($B227&amp;$D227,'Smelter Look-up'!$J:$J,0),MATCH($B227&amp;$C227,'Smelter Look-up'!$J:$J,0)))</f>
        <v>#N/A</v>
      </c>
      <c r="X227" s="219">
        <f t="shared" ca="1" si="31"/>
        <v>0</v>
      </c>
      <c r="AB227" s="220" t="str">
        <f t="shared" si="32"/>
        <v/>
      </c>
    </row>
    <row r="228" spans="1:28" s="219" customFormat="1" ht="20.25">
      <c r="A228" s="174"/>
      <c r="B228" s="175" t="str">
        <f>IF(LEN(A228)=0,"",INDEX('Smelter Look-up'!$A:$A,MATCH($A228,'Smelter Look-up'!$E:$E,0)))</f>
        <v/>
      </c>
      <c r="C228" s="179" t="str">
        <f>IF(LEN(A228)=0,"",INDEX('Smelter Look-up'!$C:$C,MATCH($A228,'Smelter Look-up'!$E:$E,0)))</f>
        <v/>
      </c>
      <c r="D228" s="222"/>
      <c r="E228" s="175" t="str">
        <f ca="1">IF(ISERROR($V228),"",OFFSET('Smelter Look-up'!$D$4,$V228-4,0)&amp;"")</f>
        <v/>
      </c>
      <c r="F228" s="175" t="str">
        <f ca="1">IF(ISERROR($V228),"",OFFSET('Smelter Look-up'!$E$4,$V228-4,0))</f>
        <v/>
      </c>
      <c r="G228" s="175" t="str">
        <f ca="1">IF(C228=$X$4,IF(ISERROR($V228),"Enter smelter details","RMI"),IF(ISERROR($V228),"",OFFSET('Smelter Look-up'!$F$4,$V228-4,0)))</f>
        <v/>
      </c>
      <c r="H228" s="176" t="str">
        <f ca="1">IF(ISERROR($V228),"",OFFSET('Smelter Look-up'!$G$4,$V228-4,0))</f>
        <v/>
      </c>
      <c r="I228" s="177" t="str">
        <f ca="1">IF(ISERROR($V228),"",OFFSET('Smelter Look-up'!$H$4,$V228-4,0))</f>
        <v/>
      </c>
      <c r="J228" s="177" t="str">
        <f ca="1">IF(ISERROR($V228),"",OFFSET('Smelter Look-up'!$I$4,$V228-4,0))</f>
        <v/>
      </c>
      <c r="K228" s="216"/>
      <c r="L228" s="216"/>
      <c r="M228" s="216"/>
      <c r="N228" s="216"/>
      <c r="O228" s="216"/>
      <c r="P228" s="178"/>
      <c r="Q228" s="217"/>
      <c r="R228" s="175" t="str">
        <f ca="1">IF(ISERROR($V228),"",OFFSET('Smelter Look-up'!$C$4,$V228-4,0)&amp;"")</f>
        <v/>
      </c>
      <c r="S228" s="174" t="str">
        <f t="shared" ca="1" si="30"/>
        <v/>
      </c>
      <c r="T228" s="174" t="str">
        <f ca="1">IF(B228="","",IF(ISERROR(MATCH($J228,SorP!$B$1:$B$6279,0)),"",INDIRECT("'SorP'!$A$"&amp;MATCH($S228&amp;$J228,SorP!C:C,0))))</f>
        <v/>
      </c>
      <c r="U228" s="194"/>
      <c r="V228" s="218" t="e">
        <f>IF(C228="",NA(),IF(OR(C228="Smelter not listed",C228="Smelter not yet identified"),MATCH($B228&amp;$D228,'Smelter Look-up'!$J:$J,0),MATCH($B228&amp;$C228,'Smelter Look-up'!$J:$J,0)))</f>
        <v>#N/A</v>
      </c>
      <c r="X228" s="219">
        <f t="shared" ca="1" si="31"/>
        <v>0</v>
      </c>
      <c r="AB228" s="220" t="str">
        <f t="shared" si="32"/>
        <v/>
      </c>
    </row>
    <row r="229" spans="1:28" s="219" customFormat="1" ht="20.25">
      <c r="A229" s="174"/>
      <c r="B229" s="175" t="str">
        <f>IF(LEN(A229)=0,"",INDEX('Smelter Look-up'!$A:$A,MATCH($A229,'Smelter Look-up'!$E:$E,0)))</f>
        <v/>
      </c>
      <c r="C229" s="179" t="str">
        <f>IF(LEN(A229)=0,"",INDEX('Smelter Look-up'!$C:$C,MATCH($A229,'Smelter Look-up'!$E:$E,0)))</f>
        <v/>
      </c>
      <c r="D229" s="222"/>
      <c r="E229" s="175" t="str">
        <f ca="1">IF(ISERROR($V229),"",OFFSET('Smelter Look-up'!$D$4,$V229-4,0)&amp;"")</f>
        <v/>
      </c>
      <c r="F229" s="175" t="str">
        <f ca="1">IF(ISERROR($V229),"",OFFSET('Smelter Look-up'!$E$4,$V229-4,0))</f>
        <v/>
      </c>
      <c r="G229" s="175" t="str">
        <f ca="1">IF(C229=$X$4,IF(ISERROR($V229),"Enter smelter details","RMI"),IF(ISERROR($V229),"",OFFSET('Smelter Look-up'!$F$4,$V229-4,0)))</f>
        <v/>
      </c>
      <c r="H229" s="176" t="str">
        <f ca="1">IF(ISERROR($V229),"",OFFSET('Smelter Look-up'!$G$4,$V229-4,0))</f>
        <v/>
      </c>
      <c r="I229" s="177" t="str">
        <f ca="1">IF(ISERROR($V229),"",OFFSET('Smelter Look-up'!$H$4,$V229-4,0))</f>
        <v/>
      </c>
      <c r="J229" s="177" t="str">
        <f ca="1">IF(ISERROR($V229),"",OFFSET('Smelter Look-up'!$I$4,$V229-4,0))</f>
        <v/>
      </c>
      <c r="K229" s="216"/>
      <c r="L229" s="216"/>
      <c r="M229" s="216"/>
      <c r="N229" s="216"/>
      <c r="O229" s="216"/>
      <c r="P229" s="178"/>
      <c r="Q229" s="217"/>
      <c r="R229" s="175" t="str">
        <f ca="1">IF(ISERROR($V229),"",OFFSET('Smelter Look-up'!$C$4,$V229-4,0)&amp;"")</f>
        <v/>
      </c>
      <c r="S229" s="174" t="str">
        <f t="shared" ca="1" si="30"/>
        <v/>
      </c>
      <c r="T229" s="174" t="str">
        <f ca="1">IF(B229="","",IF(ISERROR(MATCH($J229,SorP!$B$1:$B$6279,0)),"",INDIRECT("'SorP'!$A$"&amp;MATCH($S229&amp;$J229,SorP!C:C,0))))</f>
        <v/>
      </c>
      <c r="U229" s="194"/>
      <c r="V229" s="218" t="e">
        <f>IF(C229="",NA(),IF(OR(C229="Smelter not listed",C229="Smelter not yet identified"),MATCH($B229&amp;$D229,'Smelter Look-up'!$J:$J,0),MATCH($B229&amp;$C229,'Smelter Look-up'!$J:$J,0)))</f>
        <v>#N/A</v>
      </c>
      <c r="X229" s="219">
        <f t="shared" ca="1" si="31"/>
        <v>0</v>
      </c>
      <c r="AB229" s="220" t="str">
        <f t="shared" si="32"/>
        <v/>
      </c>
    </row>
    <row r="230" spans="1:28" s="219" customFormat="1" ht="20.25">
      <c r="A230" s="174"/>
      <c r="B230" s="175" t="str">
        <f>IF(LEN(A230)=0,"",INDEX('Smelter Look-up'!$A:$A,MATCH($A230,'Smelter Look-up'!$E:$E,0)))</f>
        <v/>
      </c>
      <c r="C230" s="179" t="str">
        <f>IF(LEN(A230)=0,"",INDEX('Smelter Look-up'!$C:$C,MATCH($A230,'Smelter Look-up'!$E:$E,0)))</f>
        <v/>
      </c>
      <c r="D230" s="222"/>
      <c r="E230" s="175" t="str">
        <f ca="1">IF(ISERROR($V230),"",OFFSET('Smelter Look-up'!$D$4,$V230-4,0)&amp;"")</f>
        <v/>
      </c>
      <c r="F230" s="175" t="str">
        <f ca="1">IF(ISERROR($V230),"",OFFSET('Smelter Look-up'!$E$4,$V230-4,0))</f>
        <v/>
      </c>
      <c r="G230" s="175" t="str">
        <f ca="1">IF(C230=$X$4,IF(ISERROR($V230),"Enter smelter details","RMI"),IF(ISERROR($V230),"",OFFSET('Smelter Look-up'!$F$4,$V230-4,0)))</f>
        <v/>
      </c>
      <c r="H230" s="176" t="str">
        <f ca="1">IF(ISERROR($V230),"",OFFSET('Smelter Look-up'!$G$4,$V230-4,0))</f>
        <v/>
      </c>
      <c r="I230" s="177" t="str">
        <f ca="1">IF(ISERROR($V230),"",OFFSET('Smelter Look-up'!$H$4,$V230-4,0))</f>
        <v/>
      </c>
      <c r="J230" s="177" t="str">
        <f ca="1">IF(ISERROR($V230),"",OFFSET('Smelter Look-up'!$I$4,$V230-4,0))</f>
        <v/>
      </c>
      <c r="K230" s="216"/>
      <c r="L230" s="216"/>
      <c r="M230" s="216"/>
      <c r="N230" s="216"/>
      <c r="O230" s="216"/>
      <c r="P230" s="178"/>
      <c r="Q230" s="217"/>
      <c r="R230" s="175" t="str">
        <f ca="1">IF(ISERROR($V230),"",OFFSET('Smelter Look-up'!$C$4,$V230-4,0)&amp;"")</f>
        <v/>
      </c>
      <c r="S230" s="174" t="str">
        <f t="shared" ref="S230:S260" ca="1" si="33">IF(B230="","",IF(ISERROR(MATCH($E230,CL,0)),"Unknown",INDIRECT("'C'!$A$"&amp;MATCH($E230,CL,0)+1)))</f>
        <v/>
      </c>
      <c r="T230" s="174" t="str">
        <f ca="1">IF(B230="","",IF(ISERROR(MATCH($J230,SorP!$B$1:$B$6279,0)),"",INDIRECT("'SorP'!$A$"&amp;MATCH($S230&amp;$J230,SorP!C:C,0))))</f>
        <v/>
      </c>
      <c r="U230" s="194"/>
      <c r="V230" s="218" t="e">
        <f>IF(C230="",NA(),IF(OR(C230="Smelter not listed",C230="Smelter not yet identified"),MATCH($B230&amp;$D230,'Smelter Look-up'!$J:$J,0),MATCH($B230&amp;$C230,'Smelter Look-up'!$J:$J,0)))</f>
        <v>#N/A</v>
      </c>
      <c r="X230" s="219">
        <f t="shared" ref="X230:X260" ca="1" si="34">IF(AND(C230="Smelter not listed",OR(LEN(D230)=0,LEN(E230)=0)),1,0)</f>
        <v>0</v>
      </c>
      <c r="AB230" s="220" t="str">
        <f t="shared" ref="AB230:AB260" si="35">B230&amp;C230</f>
        <v/>
      </c>
    </row>
    <row r="231" spans="1:28" s="219" customFormat="1" ht="20.25">
      <c r="A231" s="174"/>
      <c r="B231" s="175" t="str">
        <f>IF(LEN(A231)=0,"",INDEX('Smelter Look-up'!$A:$A,MATCH($A231,'Smelter Look-up'!$E:$E,0)))</f>
        <v/>
      </c>
      <c r="C231" s="179" t="str">
        <f>IF(LEN(A231)=0,"",INDEX('Smelter Look-up'!$C:$C,MATCH($A231,'Smelter Look-up'!$E:$E,0)))</f>
        <v/>
      </c>
      <c r="D231" s="222"/>
      <c r="E231" s="175" t="str">
        <f ca="1">IF(ISERROR($V231),"",OFFSET('Smelter Look-up'!$D$4,$V231-4,0)&amp;"")</f>
        <v/>
      </c>
      <c r="F231" s="175" t="str">
        <f ca="1">IF(ISERROR($V231),"",OFFSET('Smelter Look-up'!$E$4,$V231-4,0))</f>
        <v/>
      </c>
      <c r="G231" s="175" t="str">
        <f ca="1">IF(C231=$X$4,IF(ISERROR($V231),"Enter smelter details","RMI"),IF(ISERROR($V231),"",OFFSET('Smelter Look-up'!$F$4,$V231-4,0)))</f>
        <v/>
      </c>
      <c r="H231" s="176" t="str">
        <f ca="1">IF(ISERROR($V231),"",OFFSET('Smelter Look-up'!$G$4,$V231-4,0))</f>
        <v/>
      </c>
      <c r="I231" s="177" t="str">
        <f ca="1">IF(ISERROR($V231),"",OFFSET('Smelter Look-up'!$H$4,$V231-4,0))</f>
        <v/>
      </c>
      <c r="J231" s="177" t="str">
        <f ca="1">IF(ISERROR($V231),"",OFFSET('Smelter Look-up'!$I$4,$V231-4,0))</f>
        <v/>
      </c>
      <c r="K231" s="216"/>
      <c r="L231" s="216"/>
      <c r="M231" s="216"/>
      <c r="N231" s="216"/>
      <c r="O231" s="216"/>
      <c r="P231" s="178"/>
      <c r="Q231" s="217"/>
      <c r="R231" s="175" t="str">
        <f ca="1">IF(ISERROR($V231),"",OFFSET('Smelter Look-up'!$C$4,$V231-4,0)&amp;"")</f>
        <v/>
      </c>
      <c r="S231" s="174" t="str">
        <f t="shared" ca="1" si="33"/>
        <v/>
      </c>
      <c r="T231" s="174" t="str">
        <f ca="1">IF(B231="","",IF(ISERROR(MATCH($J231,SorP!$B$1:$B$6279,0)),"",INDIRECT("'SorP'!$A$"&amp;MATCH($S231&amp;$J231,SorP!C:C,0))))</f>
        <v/>
      </c>
      <c r="U231" s="194"/>
      <c r="V231" s="218" t="e">
        <f>IF(C231="",NA(),IF(OR(C231="Smelter not listed",C231="Smelter not yet identified"),MATCH($B231&amp;$D231,'Smelter Look-up'!$J:$J,0),MATCH($B231&amp;$C231,'Smelter Look-up'!$J:$J,0)))</f>
        <v>#N/A</v>
      </c>
      <c r="X231" s="219">
        <f t="shared" ca="1" si="34"/>
        <v>0</v>
      </c>
      <c r="AB231" s="220" t="str">
        <f t="shared" si="35"/>
        <v/>
      </c>
    </row>
    <row r="232" spans="1:28" s="219" customFormat="1" ht="20.25">
      <c r="A232" s="174"/>
      <c r="B232" s="175" t="str">
        <f>IF(LEN(A232)=0,"",INDEX('Smelter Look-up'!$A:$A,MATCH($A232,'Smelter Look-up'!$E:$E,0)))</f>
        <v/>
      </c>
      <c r="C232" s="179" t="str">
        <f>IF(LEN(A232)=0,"",INDEX('Smelter Look-up'!$C:$C,MATCH($A232,'Smelter Look-up'!$E:$E,0)))</f>
        <v/>
      </c>
      <c r="D232" s="222"/>
      <c r="E232" s="175" t="str">
        <f ca="1">IF(ISERROR($V232),"",OFFSET('Smelter Look-up'!$D$4,$V232-4,0)&amp;"")</f>
        <v/>
      </c>
      <c r="F232" s="175" t="str">
        <f ca="1">IF(ISERROR($V232),"",OFFSET('Smelter Look-up'!$E$4,$V232-4,0))</f>
        <v/>
      </c>
      <c r="G232" s="175" t="str">
        <f ca="1">IF(C232=$X$4,IF(ISERROR($V232),"Enter smelter details","RMI"),IF(ISERROR($V232),"",OFFSET('Smelter Look-up'!$F$4,$V232-4,0)))</f>
        <v/>
      </c>
      <c r="H232" s="176" t="str">
        <f ca="1">IF(ISERROR($V232),"",OFFSET('Smelter Look-up'!$G$4,$V232-4,0))</f>
        <v/>
      </c>
      <c r="I232" s="177" t="str">
        <f ca="1">IF(ISERROR($V232),"",OFFSET('Smelter Look-up'!$H$4,$V232-4,0))</f>
        <v/>
      </c>
      <c r="J232" s="177" t="str">
        <f ca="1">IF(ISERROR($V232),"",OFFSET('Smelter Look-up'!$I$4,$V232-4,0))</f>
        <v/>
      </c>
      <c r="K232" s="216"/>
      <c r="L232" s="216"/>
      <c r="M232" s="216"/>
      <c r="N232" s="216"/>
      <c r="O232" s="216"/>
      <c r="P232" s="178"/>
      <c r="Q232" s="217"/>
      <c r="R232" s="175" t="str">
        <f ca="1">IF(ISERROR($V232),"",OFFSET('Smelter Look-up'!$C$4,$V232-4,0)&amp;"")</f>
        <v/>
      </c>
      <c r="S232" s="174" t="str">
        <f t="shared" ca="1" si="33"/>
        <v/>
      </c>
      <c r="T232" s="174" t="str">
        <f ca="1">IF(B232="","",IF(ISERROR(MATCH($J232,SorP!$B$1:$B$6279,0)),"",INDIRECT("'SorP'!$A$"&amp;MATCH($S232&amp;$J232,SorP!C:C,0))))</f>
        <v/>
      </c>
      <c r="U232" s="194"/>
      <c r="V232" s="218" t="e">
        <f>IF(C232="",NA(),IF(OR(C232="Smelter not listed",C232="Smelter not yet identified"),MATCH($B232&amp;$D232,'Smelter Look-up'!$J:$J,0),MATCH($B232&amp;$C232,'Smelter Look-up'!$J:$J,0)))</f>
        <v>#N/A</v>
      </c>
      <c r="X232" s="219">
        <f t="shared" ca="1" si="34"/>
        <v>0</v>
      </c>
      <c r="AB232" s="220" t="str">
        <f t="shared" si="35"/>
        <v/>
      </c>
    </row>
    <row r="233" spans="1:28" s="219" customFormat="1" ht="20.25">
      <c r="A233" s="174"/>
      <c r="B233" s="175" t="str">
        <f>IF(LEN(A233)=0,"",INDEX('Smelter Look-up'!$A:$A,MATCH($A233,'Smelter Look-up'!$E:$E,0)))</f>
        <v/>
      </c>
      <c r="C233" s="179" t="str">
        <f>IF(LEN(A233)=0,"",INDEX('Smelter Look-up'!$C:$C,MATCH($A233,'Smelter Look-up'!$E:$E,0)))</f>
        <v/>
      </c>
      <c r="D233" s="222"/>
      <c r="E233" s="175" t="str">
        <f ca="1">IF(ISERROR($V233),"",OFFSET('Smelter Look-up'!$D$4,$V233-4,0)&amp;"")</f>
        <v/>
      </c>
      <c r="F233" s="175" t="str">
        <f ca="1">IF(ISERROR($V233),"",OFFSET('Smelter Look-up'!$E$4,$V233-4,0))</f>
        <v/>
      </c>
      <c r="G233" s="175" t="str">
        <f ca="1">IF(C233=$X$4,IF(ISERROR($V233),"Enter smelter details","RMI"),IF(ISERROR($V233),"",OFFSET('Smelter Look-up'!$F$4,$V233-4,0)))</f>
        <v/>
      </c>
      <c r="H233" s="176" t="str">
        <f ca="1">IF(ISERROR($V233),"",OFFSET('Smelter Look-up'!$G$4,$V233-4,0))</f>
        <v/>
      </c>
      <c r="I233" s="177" t="str">
        <f ca="1">IF(ISERROR($V233),"",OFFSET('Smelter Look-up'!$H$4,$V233-4,0))</f>
        <v/>
      </c>
      <c r="J233" s="177" t="str">
        <f ca="1">IF(ISERROR($V233),"",OFFSET('Smelter Look-up'!$I$4,$V233-4,0))</f>
        <v/>
      </c>
      <c r="K233" s="216"/>
      <c r="L233" s="216"/>
      <c r="M233" s="216"/>
      <c r="N233" s="216"/>
      <c r="O233" s="216"/>
      <c r="P233" s="178"/>
      <c r="Q233" s="217"/>
      <c r="R233" s="175" t="str">
        <f ca="1">IF(ISERROR($V233),"",OFFSET('Smelter Look-up'!$C$4,$V233-4,0)&amp;"")</f>
        <v/>
      </c>
      <c r="S233" s="174" t="str">
        <f t="shared" ca="1" si="33"/>
        <v/>
      </c>
      <c r="T233" s="174" t="str">
        <f ca="1">IF(B233="","",IF(ISERROR(MATCH($J233,SorP!$B$1:$B$6279,0)),"",INDIRECT("'SorP'!$A$"&amp;MATCH($S233&amp;$J233,SorP!C:C,0))))</f>
        <v/>
      </c>
      <c r="U233" s="194"/>
      <c r="V233" s="218" t="e">
        <f>IF(C233="",NA(),IF(OR(C233="Smelter not listed",C233="Smelter not yet identified"),MATCH($B233&amp;$D233,'Smelter Look-up'!$J:$J,0),MATCH($B233&amp;$C233,'Smelter Look-up'!$J:$J,0)))</f>
        <v>#N/A</v>
      </c>
      <c r="X233" s="219">
        <f t="shared" ca="1" si="34"/>
        <v>0</v>
      </c>
      <c r="AB233" s="220" t="str">
        <f t="shared" si="35"/>
        <v/>
      </c>
    </row>
    <row r="234" spans="1:28" s="219" customFormat="1" ht="20.25">
      <c r="A234" s="174"/>
      <c r="B234" s="175" t="str">
        <f>IF(LEN(A234)=0,"",INDEX('Smelter Look-up'!$A:$A,MATCH($A234,'Smelter Look-up'!$E:$E,0)))</f>
        <v/>
      </c>
      <c r="C234" s="179" t="str">
        <f>IF(LEN(A234)=0,"",INDEX('Smelter Look-up'!$C:$C,MATCH($A234,'Smelter Look-up'!$E:$E,0)))</f>
        <v/>
      </c>
      <c r="D234" s="222"/>
      <c r="E234" s="175" t="str">
        <f ca="1">IF(ISERROR($V234),"",OFFSET('Smelter Look-up'!$D$4,$V234-4,0)&amp;"")</f>
        <v/>
      </c>
      <c r="F234" s="175" t="str">
        <f ca="1">IF(ISERROR($V234),"",OFFSET('Smelter Look-up'!$E$4,$V234-4,0))</f>
        <v/>
      </c>
      <c r="G234" s="175" t="str">
        <f ca="1">IF(C234=$X$4,IF(ISERROR($V234),"Enter smelter details","RMI"),IF(ISERROR($V234),"",OFFSET('Smelter Look-up'!$F$4,$V234-4,0)))</f>
        <v/>
      </c>
      <c r="H234" s="176" t="str">
        <f ca="1">IF(ISERROR($V234),"",OFFSET('Smelter Look-up'!$G$4,$V234-4,0))</f>
        <v/>
      </c>
      <c r="I234" s="177" t="str">
        <f ca="1">IF(ISERROR($V234),"",OFFSET('Smelter Look-up'!$H$4,$V234-4,0))</f>
        <v/>
      </c>
      <c r="J234" s="177" t="str">
        <f ca="1">IF(ISERROR($V234),"",OFFSET('Smelter Look-up'!$I$4,$V234-4,0))</f>
        <v/>
      </c>
      <c r="K234" s="216"/>
      <c r="L234" s="216"/>
      <c r="M234" s="216"/>
      <c r="N234" s="216"/>
      <c r="O234" s="216"/>
      <c r="P234" s="178"/>
      <c r="Q234" s="217"/>
      <c r="R234" s="175" t="str">
        <f ca="1">IF(ISERROR($V234),"",OFFSET('Smelter Look-up'!$C$4,$V234-4,0)&amp;"")</f>
        <v/>
      </c>
      <c r="S234" s="174" t="str">
        <f t="shared" ca="1" si="33"/>
        <v/>
      </c>
      <c r="T234" s="174" t="str">
        <f ca="1">IF(B234="","",IF(ISERROR(MATCH($J234,SorP!$B$1:$B$6279,0)),"",INDIRECT("'SorP'!$A$"&amp;MATCH($S234&amp;$J234,SorP!C:C,0))))</f>
        <v/>
      </c>
      <c r="U234" s="194"/>
      <c r="V234" s="218" t="e">
        <f>IF(C234="",NA(),IF(OR(C234="Smelter not listed",C234="Smelter not yet identified"),MATCH($B234&amp;$D234,'Smelter Look-up'!$J:$J,0),MATCH($B234&amp;$C234,'Smelter Look-up'!$J:$J,0)))</f>
        <v>#N/A</v>
      </c>
      <c r="X234" s="219">
        <f t="shared" ca="1" si="34"/>
        <v>0</v>
      </c>
      <c r="AB234" s="220" t="str">
        <f t="shared" si="35"/>
        <v/>
      </c>
    </row>
    <row r="235" spans="1:28" s="219" customFormat="1" ht="20.25">
      <c r="A235" s="174"/>
      <c r="B235" s="175" t="str">
        <f>IF(LEN(A235)=0,"",INDEX('Smelter Look-up'!$A:$A,MATCH($A235,'Smelter Look-up'!$E:$E,0)))</f>
        <v/>
      </c>
      <c r="C235" s="179" t="str">
        <f>IF(LEN(A235)=0,"",INDEX('Smelter Look-up'!$C:$C,MATCH($A235,'Smelter Look-up'!$E:$E,0)))</f>
        <v/>
      </c>
      <c r="D235" s="222"/>
      <c r="E235" s="175" t="str">
        <f ca="1">IF(ISERROR($V235),"",OFFSET('Smelter Look-up'!$D$4,$V235-4,0)&amp;"")</f>
        <v/>
      </c>
      <c r="F235" s="175" t="str">
        <f ca="1">IF(ISERROR($V235),"",OFFSET('Smelter Look-up'!$E$4,$V235-4,0))</f>
        <v/>
      </c>
      <c r="G235" s="175" t="str">
        <f ca="1">IF(C235=$X$4,IF(ISERROR($V235),"Enter smelter details","RMI"),IF(ISERROR($V235),"",OFFSET('Smelter Look-up'!$F$4,$V235-4,0)))</f>
        <v/>
      </c>
      <c r="H235" s="176" t="str">
        <f ca="1">IF(ISERROR($V235),"",OFFSET('Smelter Look-up'!$G$4,$V235-4,0))</f>
        <v/>
      </c>
      <c r="I235" s="177" t="str">
        <f ca="1">IF(ISERROR($V235),"",OFFSET('Smelter Look-up'!$H$4,$V235-4,0))</f>
        <v/>
      </c>
      <c r="J235" s="177" t="str">
        <f ca="1">IF(ISERROR($V235),"",OFFSET('Smelter Look-up'!$I$4,$V235-4,0))</f>
        <v/>
      </c>
      <c r="K235" s="216"/>
      <c r="L235" s="216"/>
      <c r="M235" s="216"/>
      <c r="N235" s="216"/>
      <c r="O235" s="216"/>
      <c r="P235" s="178"/>
      <c r="Q235" s="217"/>
      <c r="R235" s="175" t="str">
        <f ca="1">IF(ISERROR($V235),"",OFFSET('Smelter Look-up'!$C$4,$V235-4,0)&amp;"")</f>
        <v/>
      </c>
      <c r="S235" s="174" t="str">
        <f t="shared" ca="1" si="33"/>
        <v/>
      </c>
      <c r="T235" s="174" t="str">
        <f ca="1">IF(B235="","",IF(ISERROR(MATCH($J235,SorP!$B$1:$B$6279,0)),"",INDIRECT("'SorP'!$A$"&amp;MATCH($S235&amp;$J235,SorP!C:C,0))))</f>
        <v/>
      </c>
      <c r="U235" s="194"/>
      <c r="V235" s="218" t="e">
        <f>IF(C235="",NA(),IF(OR(C235="Smelter not listed",C235="Smelter not yet identified"),MATCH($B235&amp;$D235,'Smelter Look-up'!$J:$J,0),MATCH($B235&amp;$C235,'Smelter Look-up'!$J:$J,0)))</f>
        <v>#N/A</v>
      </c>
      <c r="X235" s="219">
        <f t="shared" ca="1" si="34"/>
        <v>0</v>
      </c>
      <c r="AB235" s="220" t="str">
        <f t="shared" si="35"/>
        <v/>
      </c>
    </row>
    <row r="236" spans="1:28" s="219" customFormat="1" ht="20.25">
      <c r="A236" s="174"/>
      <c r="B236" s="175" t="str">
        <f>IF(LEN(A236)=0,"",INDEX('Smelter Look-up'!$A:$A,MATCH($A236,'Smelter Look-up'!$E:$E,0)))</f>
        <v/>
      </c>
      <c r="C236" s="179" t="str">
        <f>IF(LEN(A236)=0,"",INDEX('Smelter Look-up'!$C:$C,MATCH($A236,'Smelter Look-up'!$E:$E,0)))</f>
        <v/>
      </c>
      <c r="D236" s="222"/>
      <c r="E236" s="175" t="str">
        <f ca="1">IF(ISERROR($V236),"",OFFSET('Smelter Look-up'!$D$4,$V236-4,0)&amp;"")</f>
        <v/>
      </c>
      <c r="F236" s="175" t="str">
        <f ca="1">IF(ISERROR($V236),"",OFFSET('Smelter Look-up'!$E$4,$V236-4,0))</f>
        <v/>
      </c>
      <c r="G236" s="175" t="str">
        <f ca="1">IF(C236=$X$4,IF(ISERROR($V236),"Enter smelter details","RMI"),IF(ISERROR($V236),"",OFFSET('Smelter Look-up'!$F$4,$V236-4,0)))</f>
        <v/>
      </c>
      <c r="H236" s="176" t="str">
        <f ca="1">IF(ISERROR($V236),"",OFFSET('Smelter Look-up'!$G$4,$V236-4,0))</f>
        <v/>
      </c>
      <c r="I236" s="177" t="str">
        <f ca="1">IF(ISERROR($V236),"",OFFSET('Smelter Look-up'!$H$4,$V236-4,0))</f>
        <v/>
      </c>
      <c r="J236" s="177" t="str">
        <f ca="1">IF(ISERROR($V236),"",OFFSET('Smelter Look-up'!$I$4,$V236-4,0))</f>
        <v/>
      </c>
      <c r="K236" s="216"/>
      <c r="L236" s="216"/>
      <c r="M236" s="216"/>
      <c r="N236" s="216"/>
      <c r="O236" s="216"/>
      <c r="P236" s="178"/>
      <c r="Q236" s="217"/>
      <c r="R236" s="175" t="str">
        <f ca="1">IF(ISERROR($V236),"",OFFSET('Smelter Look-up'!$C$4,$V236-4,0)&amp;"")</f>
        <v/>
      </c>
      <c r="S236" s="174" t="str">
        <f t="shared" ca="1" si="33"/>
        <v/>
      </c>
      <c r="T236" s="174" t="str">
        <f ca="1">IF(B236="","",IF(ISERROR(MATCH($J236,SorP!$B$1:$B$6279,0)),"",INDIRECT("'SorP'!$A$"&amp;MATCH($S236&amp;$J236,SorP!C:C,0))))</f>
        <v/>
      </c>
      <c r="U236" s="194"/>
      <c r="V236" s="218" t="e">
        <f>IF(C236="",NA(),IF(OR(C236="Smelter not listed",C236="Smelter not yet identified"),MATCH($B236&amp;$D236,'Smelter Look-up'!$J:$J,0),MATCH($B236&amp;$C236,'Smelter Look-up'!$J:$J,0)))</f>
        <v>#N/A</v>
      </c>
      <c r="X236" s="219">
        <f t="shared" ca="1" si="34"/>
        <v>0</v>
      </c>
      <c r="AB236" s="220" t="str">
        <f t="shared" si="35"/>
        <v/>
      </c>
    </row>
    <row r="237" spans="1:28" s="219" customFormat="1" ht="20.25">
      <c r="A237" s="174"/>
      <c r="B237" s="175" t="str">
        <f>IF(LEN(A237)=0,"",INDEX('Smelter Look-up'!$A:$A,MATCH($A237,'Smelter Look-up'!$E:$E,0)))</f>
        <v/>
      </c>
      <c r="C237" s="179" t="str">
        <f>IF(LEN(A237)=0,"",INDEX('Smelter Look-up'!$C:$C,MATCH($A237,'Smelter Look-up'!$E:$E,0)))</f>
        <v/>
      </c>
      <c r="D237" s="222"/>
      <c r="E237" s="175" t="str">
        <f ca="1">IF(ISERROR($V237),"",OFFSET('Smelter Look-up'!$D$4,$V237-4,0)&amp;"")</f>
        <v/>
      </c>
      <c r="F237" s="175" t="str">
        <f ca="1">IF(ISERROR($V237),"",OFFSET('Smelter Look-up'!$E$4,$V237-4,0))</f>
        <v/>
      </c>
      <c r="G237" s="175" t="str">
        <f ca="1">IF(C237=$X$4,IF(ISERROR($V237),"Enter smelter details","RMI"),IF(ISERROR($V237),"",OFFSET('Smelter Look-up'!$F$4,$V237-4,0)))</f>
        <v/>
      </c>
      <c r="H237" s="176" t="str">
        <f ca="1">IF(ISERROR($V237),"",OFFSET('Smelter Look-up'!$G$4,$V237-4,0))</f>
        <v/>
      </c>
      <c r="I237" s="177" t="str">
        <f ca="1">IF(ISERROR($V237),"",OFFSET('Smelter Look-up'!$H$4,$V237-4,0))</f>
        <v/>
      </c>
      <c r="J237" s="177" t="str">
        <f ca="1">IF(ISERROR($V237),"",OFFSET('Smelter Look-up'!$I$4,$V237-4,0))</f>
        <v/>
      </c>
      <c r="K237" s="216"/>
      <c r="L237" s="216"/>
      <c r="M237" s="216"/>
      <c r="N237" s="216"/>
      <c r="O237" s="216"/>
      <c r="P237" s="178"/>
      <c r="Q237" s="217"/>
      <c r="R237" s="175" t="str">
        <f ca="1">IF(ISERROR($V237),"",OFFSET('Smelter Look-up'!$C$4,$V237-4,0)&amp;"")</f>
        <v/>
      </c>
      <c r="S237" s="174" t="str">
        <f t="shared" ca="1" si="33"/>
        <v/>
      </c>
      <c r="T237" s="174" t="str">
        <f ca="1">IF(B237="","",IF(ISERROR(MATCH($J237,SorP!$B$1:$B$6279,0)),"",INDIRECT("'SorP'!$A$"&amp;MATCH($S237&amp;$J237,SorP!C:C,0))))</f>
        <v/>
      </c>
      <c r="U237" s="194"/>
      <c r="V237" s="218" t="e">
        <f>IF(C237="",NA(),IF(OR(C237="Smelter not listed",C237="Smelter not yet identified"),MATCH($B237&amp;$D237,'Smelter Look-up'!$J:$J,0),MATCH($B237&amp;$C237,'Smelter Look-up'!$J:$J,0)))</f>
        <v>#N/A</v>
      </c>
      <c r="X237" s="219">
        <f t="shared" ca="1" si="34"/>
        <v>0</v>
      </c>
      <c r="AB237" s="220" t="str">
        <f t="shared" si="35"/>
        <v/>
      </c>
    </row>
    <row r="238" spans="1:28" s="219" customFormat="1" ht="20.25">
      <c r="A238" s="174"/>
      <c r="B238" s="175" t="str">
        <f>IF(LEN(A238)=0,"",INDEX('Smelter Look-up'!$A:$A,MATCH($A238,'Smelter Look-up'!$E:$E,0)))</f>
        <v/>
      </c>
      <c r="C238" s="179" t="str">
        <f>IF(LEN(A238)=0,"",INDEX('Smelter Look-up'!$C:$C,MATCH($A238,'Smelter Look-up'!$E:$E,0)))</f>
        <v/>
      </c>
      <c r="D238" s="222"/>
      <c r="E238" s="175" t="str">
        <f ca="1">IF(ISERROR($V238),"",OFFSET('Smelter Look-up'!$D$4,$V238-4,0)&amp;"")</f>
        <v/>
      </c>
      <c r="F238" s="175" t="str">
        <f ca="1">IF(ISERROR($V238),"",OFFSET('Smelter Look-up'!$E$4,$V238-4,0))</f>
        <v/>
      </c>
      <c r="G238" s="175" t="str">
        <f ca="1">IF(C238=$X$4,IF(ISERROR($V238),"Enter smelter details","RMI"),IF(ISERROR($V238),"",OFFSET('Smelter Look-up'!$F$4,$V238-4,0)))</f>
        <v/>
      </c>
      <c r="H238" s="176" t="str">
        <f ca="1">IF(ISERROR($V238),"",OFFSET('Smelter Look-up'!$G$4,$V238-4,0))</f>
        <v/>
      </c>
      <c r="I238" s="177" t="str">
        <f ca="1">IF(ISERROR($V238),"",OFFSET('Smelter Look-up'!$H$4,$V238-4,0))</f>
        <v/>
      </c>
      <c r="J238" s="177" t="str">
        <f ca="1">IF(ISERROR($V238),"",OFFSET('Smelter Look-up'!$I$4,$V238-4,0))</f>
        <v/>
      </c>
      <c r="K238" s="216"/>
      <c r="L238" s="216"/>
      <c r="M238" s="216"/>
      <c r="N238" s="216"/>
      <c r="O238" s="216"/>
      <c r="P238" s="178"/>
      <c r="Q238" s="217"/>
      <c r="R238" s="175" t="str">
        <f ca="1">IF(ISERROR($V238),"",OFFSET('Smelter Look-up'!$C$4,$V238-4,0)&amp;"")</f>
        <v/>
      </c>
      <c r="S238" s="174" t="str">
        <f t="shared" ca="1" si="33"/>
        <v/>
      </c>
      <c r="T238" s="174" t="str">
        <f ca="1">IF(B238="","",IF(ISERROR(MATCH($J238,SorP!$B$1:$B$6279,0)),"",INDIRECT("'SorP'!$A$"&amp;MATCH($S238&amp;$J238,SorP!C:C,0))))</f>
        <v/>
      </c>
      <c r="U238" s="194"/>
      <c r="V238" s="218" t="e">
        <f>IF(C238="",NA(),IF(OR(C238="Smelter not listed",C238="Smelter not yet identified"),MATCH($B238&amp;$D238,'Smelter Look-up'!$J:$J,0),MATCH($B238&amp;$C238,'Smelter Look-up'!$J:$J,0)))</f>
        <v>#N/A</v>
      </c>
      <c r="X238" s="219">
        <f t="shared" ca="1" si="34"/>
        <v>0</v>
      </c>
      <c r="AB238" s="220" t="str">
        <f t="shared" si="35"/>
        <v/>
      </c>
    </row>
    <row r="239" spans="1:28" s="219" customFormat="1" ht="20.25">
      <c r="A239" s="174"/>
      <c r="B239" s="175" t="str">
        <f>IF(LEN(A239)=0,"",INDEX('Smelter Look-up'!$A:$A,MATCH($A239,'Smelter Look-up'!$E:$E,0)))</f>
        <v/>
      </c>
      <c r="C239" s="179" t="str">
        <f>IF(LEN(A239)=0,"",INDEX('Smelter Look-up'!$C:$C,MATCH($A239,'Smelter Look-up'!$E:$E,0)))</f>
        <v/>
      </c>
      <c r="D239" s="222"/>
      <c r="E239" s="175" t="str">
        <f ca="1">IF(ISERROR($V239),"",OFFSET('Smelter Look-up'!$D$4,$V239-4,0)&amp;"")</f>
        <v/>
      </c>
      <c r="F239" s="175" t="str">
        <f ca="1">IF(ISERROR($V239),"",OFFSET('Smelter Look-up'!$E$4,$V239-4,0))</f>
        <v/>
      </c>
      <c r="G239" s="175" t="str">
        <f ca="1">IF(C239=$X$4,IF(ISERROR($V239),"Enter smelter details","RMI"),IF(ISERROR($V239),"",OFFSET('Smelter Look-up'!$F$4,$V239-4,0)))</f>
        <v/>
      </c>
      <c r="H239" s="176" t="str">
        <f ca="1">IF(ISERROR($V239),"",OFFSET('Smelter Look-up'!$G$4,$V239-4,0))</f>
        <v/>
      </c>
      <c r="I239" s="177" t="str">
        <f ca="1">IF(ISERROR($V239),"",OFFSET('Smelter Look-up'!$H$4,$V239-4,0))</f>
        <v/>
      </c>
      <c r="J239" s="177" t="str">
        <f ca="1">IF(ISERROR($V239),"",OFFSET('Smelter Look-up'!$I$4,$V239-4,0))</f>
        <v/>
      </c>
      <c r="K239" s="216"/>
      <c r="L239" s="216"/>
      <c r="M239" s="216"/>
      <c r="N239" s="216"/>
      <c r="O239" s="216"/>
      <c r="P239" s="178"/>
      <c r="Q239" s="217"/>
      <c r="R239" s="175" t="str">
        <f ca="1">IF(ISERROR($V239),"",OFFSET('Smelter Look-up'!$C$4,$V239-4,0)&amp;"")</f>
        <v/>
      </c>
      <c r="S239" s="174" t="str">
        <f t="shared" ca="1" si="33"/>
        <v/>
      </c>
      <c r="T239" s="174" t="str">
        <f ca="1">IF(B239="","",IF(ISERROR(MATCH($J239,SorP!$B$1:$B$6279,0)),"",INDIRECT("'SorP'!$A$"&amp;MATCH($S239&amp;$J239,SorP!C:C,0))))</f>
        <v/>
      </c>
      <c r="U239" s="194"/>
      <c r="V239" s="218" t="e">
        <f>IF(C239="",NA(),IF(OR(C239="Smelter not listed",C239="Smelter not yet identified"),MATCH($B239&amp;$D239,'Smelter Look-up'!$J:$J,0),MATCH($B239&amp;$C239,'Smelter Look-up'!$J:$J,0)))</f>
        <v>#N/A</v>
      </c>
      <c r="X239" s="219">
        <f t="shared" ca="1" si="34"/>
        <v>0</v>
      </c>
      <c r="AB239" s="220" t="str">
        <f t="shared" si="35"/>
        <v/>
      </c>
    </row>
    <row r="240" spans="1:28" s="219" customFormat="1" ht="20.25">
      <c r="A240" s="174"/>
      <c r="B240" s="175" t="str">
        <f>IF(LEN(A240)=0,"",INDEX('Smelter Look-up'!$A:$A,MATCH($A240,'Smelter Look-up'!$E:$E,0)))</f>
        <v/>
      </c>
      <c r="C240" s="179" t="str">
        <f>IF(LEN(A240)=0,"",INDEX('Smelter Look-up'!$C:$C,MATCH($A240,'Smelter Look-up'!$E:$E,0)))</f>
        <v/>
      </c>
      <c r="D240" s="222"/>
      <c r="E240" s="175" t="str">
        <f ca="1">IF(ISERROR($V240),"",OFFSET('Smelter Look-up'!$D$4,$V240-4,0)&amp;"")</f>
        <v/>
      </c>
      <c r="F240" s="175" t="str">
        <f ca="1">IF(ISERROR($V240),"",OFFSET('Smelter Look-up'!$E$4,$V240-4,0))</f>
        <v/>
      </c>
      <c r="G240" s="175" t="str">
        <f ca="1">IF(C240=$X$4,IF(ISERROR($V240),"Enter smelter details","RMI"),IF(ISERROR($V240),"",OFFSET('Smelter Look-up'!$F$4,$V240-4,0)))</f>
        <v/>
      </c>
      <c r="H240" s="176" t="str">
        <f ca="1">IF(ISERROR($V240),"",OFFSET('Smelter Look-up'!$G$4,$V240-4,0))</f>
        <v/>
      </c>
      <c r="I240" s="177" t="str">
        <f ca="1">IF(ISERROR($V240),"",OFFSET('Smelter Look-up'!$H$4,$V240-4,0))</f>
        <v/>
      </c>
      <c r="J240" s="177" t="str">
        <f ca="1">IF(ISERROR($V240),"",OFFSET('Smelter Look-up'!$I$4,$V240-4,0))</f>
        <v/>
      </c>
      <c r="K240" s="216"/>
      <c r="L240" s="216"/>
      <c r="M240" s="216"/>
      <c r="N240" s="216"/>
      <c r="O240" s="216"/>
      <c r="P240" s="178"/>
      <c r="Q240" s="217"/>
      <c r="R240" s="175" t="str">
        <f ca="1">IF(ISERROR($V240),"",OFFSET('Smelter Look-up'!$C$4,$V240-4,0)&amp;"")</f>
        <v/>
      </c>
      <c r="S240" s="174" t="str">
        <f t="shared" ca="1" si="33"/>
        <v/>
      </c>
      <c r="T240" s="174" t="str">
        <f ca="1">IF(B240="","",IF(ISERROR(MATCH($J240,SorP!$B$1:$B$6279,0)),"",INDIRECT("'SorP'!$A$"&amp;MATCH($S240&amp;$J240,SorP!C:C,0))))</f>
        <v/>
      </c>
      <c r="U240" s="194"/>
      <c r="V240" s="218" t="e">
        <f>IF(C240="",NA(),IF(OR(C240="Smelter not listed",C240="Smelter not yet identified"),MATCH($B240&amp;$D240,'Smelter Look-up'!$J:$J,0),MATCH($B240&amp;$C240,'Smelter Look-up'!$J:$J,0)))</f>
        <v>#N/A</v>
      </c>
      <c r="X240" s="219">
        <f t="shared" ca="1" si="34"/>
        <v>0</v>
      </c>
      <c r="AB240" s="220" t="str">
        <f t="shared" si="35"/>
        <v/>
      </c>
    </row>
    <row r="241" spans="1:28" s="219" customFormat="1" ht="20.25">
      <c r="A241" s="174"/>
      <c r="B241" s="175" t="str">
        <f>IF(LEN(A241)=0,"",INDEX('Smelter Look-up'!$A:$A,MATCH($A241,'Smelter Look-up'!$E:$E,0)))</f>
        <v/>
      </c>
      <c r="C241" s="179" t="str">
        <f>IF(LEN(A241)=0,"",INDEX('Smelter Look-up'!$C:$C,MATCH($A241,'Smelter Look-up'!$E:$E,0)))</f>
        <v/>
      </c>
      <c r="D241" s="222"/>
      <c r="E241" s="175" t="str">
        <f ca="1">IF(ISERROR($V241),"",OFFSET('Smelter Look-up'!$D$4,$V241-4,0)&amp;"")</f>
        <v/>
      </c>
      <c r="F241" s="175" t="str">
        <f ca="1">IF(ISERROR($V241),"",OFFSET('Smelter Look-up'!$E$4,$V241-4,0))</f>
        <v/>
      </c>
      <c r="G241" s="175" t="str">
        <f ca="1">IF(C241=$X$4,IF(ISERROR($V241),"Enter smelter details","RMI"),IF(ISERROR($V241),"",OFFSET('Smelter Look-up'!$F$4,$V241-4,0)))</f>
        <v/>
      </c>
      <c r="H241" s="176" t="str">
        <f ca="1">IF(ISERROR($V241),"",OFFSET('Smelter Look-up'!$G$4,$V241-4,0))</f>
        <v/>
      </c>
      <c r="I241" s="177" t="str">
        <f ca="1">IF(ISERROR($V241),"",OFFSET('Smelter Look-up'!$H$4,$V241-4,0))</f>
        <v/>
      </c>
      <c r="J241" s="177" t="str">
        <f ca="1">IF(ISERROR($V241),"",OFFSET('Smelter Look-up'!$I$4,$V241-4,0))</f>
        <v/>
      </c>
      <c r="K241" s="216"/>
      <c r="L241" s="216"/>
      <c r="M241" s="216"/>
      <c r="N241" s="216"/>
      <c r="O241" s="216"/>
      <c r="P241" s="178"/>
      <c r="Q241" s="217"/>
      <c r="R241" s="175" t="str">
        <f ca="1">IF(ISERROR($V241),"",OFFSET('Smelter Look-up'!$C$4,$V241-4,0)&amp;"")</f>
        <v/>
      </c>
      <c r="S241" s="174" t="str">
        <f t="shared" ca="1" si="33"/>
        <v/>
      </c>
      <c r="T241" s="174" t="str">
        <f ca="1">IF(B241="","",IF(ISERROR(MATCH($J241,SorP!$B$1:$B$6279,0)),"",INDIRECT("'SorP'!$A$"&amp;MATCH($S241&amp;$J241,SorP!C:C,0))))</f>
        <v/>
      </c>
      <c r="U241" s="194"/>
      <c r="V241" s="218" t="e">
        <f>IF(C241="",NA(),IF(OR(C241="Smelter not listed",C241="Smelter not yet identified"),MATCH($B241&amp;$D241,'Smelter Look-up'!$J:$J,0),MATCH($B241&amp;$C241,'Smelter Look-up'!$J:$J,0)))</f>
        <v>#N/A</v>
      </c>
      <c r="X241" s="219">
        <f t="shared" ca="1" si="34"/>
        <v>0</v>
      </c>
      <c r="AB241" s="220" t="str">
        <f t="shared" si="35"/>
        <v/>
      </c>
    </row>
    <row r="242" spans="1:28" s="219" customFormat="1" ht="20.25">
      <c r="A242" s="174"/>
      <c r="B242" s="175" t="str">
        <f>IF(LEN(A242)=0,"",INDEX('Smelter Look-up'!$A:$A,MATCH($A242,'Smelter Look-up'!$E:$E,0)))</f>
        <v/>
      </c>
      <c r="C242" s="179" t="str">
        <f>IF(LEN(A242)=0,"",INDEX('Smelter Look-up'!$C:$C,MATCH($A242,'Smelter Look-up'!$E:$E,0)))</f>
        <v/>
      </c>
      <c r="D242" s="222"/>
      <c r="E242" s="175" t="str">
        <f ca="1">IF(ISERROR($V242),"",OFFSET('Smelter Look-up'!$D$4,$V242-4,0)&amp;"")</f>
        <v/>
      </c>
      <c r="F242" s="175" t="str">
        <f ca="1">IF(ISERROR($V242),"",OFFSET('Smelter Look-up'!$E$4,$V242-4,0))</f>
        <v/>
      </c>
      <c r="G242" s="175" t="str">
        <f ca="1">IF(C242=$X$4,IF(ISERROR($V242),"Enter smelter details","RMI"),IF(ISERROR($V242),"",OFFSET('Smelter Look-up'!$F$4,$V242-4,0)))</f>
        <v/>
      </c>
      <c r="H242" s="176" t="str">
        <f ca="1">IF(ISERROR($V242),"",OFFSET('Smelter Look-up'!$G$4,$V242-4,0))</f>
        <v/>
      </c>
      <c r="I242" s="177" t="str">
        <f ca="1">IF(ISERROR($V242),"",OFFSET('Smelter Look-up'!$H$4,$V242-4,0))</f>
        <v/>
      </c>
      <c r="J242" s="177" t="str">
        <f ca="1">IF(ISERROR($V242),"",OFFSET('Smelter Look-up'!$I$4,$V242-4,0))</f>
        <v/>
      </c>
      <c r="K242" s="216"/>
      <c r="L242" s="216"/>
      <c r="M242" s="216"/>
      <c r="N242" s="216"/>
      <c r="O242" s="216"/>
      <c r="P242" s="178"/>
      <c r="Q242" s="217"/>
      <c r="R242" s="175" t="str">
        <f ca="1">IF(ISERROR($V242),"",OFFSET('Smelter Look-up'!$C$4,$V242-4,0)&amp;"")</f>
        <v/>
      </c>
      <c r="S242" s="174" t="str">
        <f t="shared" ca="1" si="33"/>
        <v/>
      </c>
      <c r="T242" s="174" t="str">
        <f ca="1">IF(B242="","",IF(ISERROR(MATCH($J242,SorP!$B$1:$B$6279,0)),"",INDIRECT("'SorP'!$A$"&amp;MATCH($S242&amp;$J242,SorP!C:C,0))))</f>
        <v/>
      </c>
      <c r="U242" s="194"/>
      <c r="V242" s="218" t="e">
        <f>IF(C242="",NA(),IF(OR(C242="Smelter not listed",C242="Smelter not yet identified"),MATCH($B242&amp;$D242,'Smelter Look-up'!$J:$J,0),MATCH($B242&amp;$C242,'Smelter Look-up'!$J:$J,0)))</f>
        <v>#N/A</v>
      </c>
      <c r="X242" s="219">
        <f t="shared" ca="1" si="34"/>
        <v>0</v>
      </c>
      <c r="AB242" s="220" t="str">
        <f t="shared" si="35"/>
        <v/>
      </c>
    </row>
    <row r="243" spans="1:28" s="219" customFormat="1" ht="20.25">
      <c r="A243" s="174"/>
      <c r="B243" s="175" t="str">
        <f>IF(LEN(A243)=0,"",INDEX('Smelter Look-up'!$A:$A,MATCH($A243,'Smelter Look-up'!$E:$E,0)))</f>
        <v/>
      </c>
      <c r="C243" s="179" t="str">
        <f>IF(LEN(A243)=0,"",INDEX('Smelter Look-up'!$C:$C,MATCH($A243,'Smelter Look-up'!$E:$E,0)))</f>
        <v/>
      </c>
      <c r="D243" s="222"/>
      <c r="E243" s="175" t="str">
        <f ca="1">IF(ISERROR($V243),"",OFFSET('Smelter Look-up'!$D$4,$V243-4,0)&amp;"")</f>
        <v/>
      </c>
      <c r="F243" s="175" t="str">
        <f ca="1">IF(ISERROR($V243),"",OFFSET('Smelter Look-up'!$E$4,$V243-4,0))</f>
        <v/>
      </c>
      <c r="G243" s="175" t="str">
        <f ca="1">IF(C243=$X$4,IF(ISERROR($V243),"Enter smelter details","RMI"),IF(ISERROR($V243),"",OFFSET('Smelter Look-up'!$F$4,$V243-4,0)))</f>
        <v/>
      </c>
      <c r="H243" s="176" t="str">
        <f ca="1">IF(ISERROR($V243),"",OFFSET('Smelter Look-up'!$G$4,$V243-4,0))</f>
        <v/>
      </c>
      <c r="I243" s="177" t="str">
        <f ca="1">IF(ISERROR($V243),"",OFFSET('Smelter Look-up'!$H$4,$V243-4,0))</f>
        <v/>
      </c>
      <c r="J243" s="177" t="str">
        <f ca="1">IF(ISERROR($V243),"",OFFSET('Smelter Look-up'!$I$4,$V243-4,0))</f>
        <v/>
      </c>
      <c r="K243" s="216"/>
      <c r="L243" s="216"/>
      <c r="M243" s="216"/>
      <c r="N243" s="216"/>
      <c r="O243" s="216"/>
      <c r="P243" s="178"/>
      <c r="Q243" s="217"/>
      <c r="R243" s="175" t="str">
        <f ca="1">IF(ISERROR($V243),"",OFFSET('Smelter Look-up'!$C$4,$V243-4,0)&amp;"")</f>
        <v/>
      </c>
      <c r="S243" s="174" t="str">
        <f t="shared" ca="1" si="33"/>
        <v/>
      </c>
      <c r="T243" s="174" t="str">
        <f ca="1">IF(B243="","",IF(ISERROR(MATCH($J243,SorP!$B$1:$B$6279,0)),"",INDIRECT("'SorP'!$A$"&amp;MATCH($S243&amp;$J243,SorP!C:C,0))))</f>
        <v/>
      </c>
      <c r="U243" s="194"/>
      <c r="V243" s="218" t="e">
        <f>IF(C243="",NA(),IF(OR(C243="Smelter not listed",C243="Smelter not yet identified"),MATCH($B243&amp;$D243,'Smelter Look-up'!$J:$J,0),MATCH($B243&amp;$C243,'Smelter Look-up'!$J:$J,0)))</f>
        <v>#N/A</v>
      </c>
      <c r="X243" s="219">
        <f t="shared" ca="1" si="34"/>
        <v>0</v>
      </c>
      <c r="AB243" s="220" t="str">
        <f t="shared" si="35"/>
        <v/>
      </c>
    </row>
    <row r="244" spans="1:28" s="219" customFormat="1" ht="20.25">
      <c r="A244" s="174"/>
      <c r="B244" s="175" t="str">
        <f>IF(LEN(A244)=0,"",INDEX('Smelter Look-up'!$A:$A,MATCH($A244,'Smelter Look-up'!$E:$E,0)))</f>
        <v/>
      </c>
      <c r="C244" s="179" t="str">
        <f>IF(LEN(A244)=0,"",INDEX('Smelter Look-up'!$C:$C,MATCH($A244,'Smelter Look-up'!$E:$E,0)))</f>
        <v/>
      </c>
      <c r="D244" s="222"/>
      <c r="E244" s="175" t="str">
        <f ca="1">IF(ISERROR($V244),"",OFFSET('Smelter Look-up'!$D$4,$V244-4,0)&amp;"")</f>
        <v/>
      </c>
      <c r="F244" s="175" t="str">
        <f ca="1">IF(ISERROR($V244),"",OFFSET('Smelter Look-up'!$E$4,$V244-4,0))</f>
        <v/>
      </c>
      <c r="G244" s="175" t="str">
        <f ca="1">IF(C244=$X$4,IF(ISERROR($V244),"Enter smelter details","RMI"),IF(ISERROR($V244),"",OFFSET('Smelter Look-up'!$F$4,$V244-4,0)))</f>
        <v/>
      </c>
      <c r="H244" s="176" t="str">
        <f ca="1">IF(ISERROR($V244),"",OFFSET('Smelter Look-up'!$G$4,$V244-4,0))</f>
        <v/>
      </c>
      <c r="I244" s="177" t="str">
        <f ca="1">IF(ISERROR($V244),"",OFFSET('Smelter Look-up'!$H$4,$V244-4,0))</f>
        <v/>
      </c>
      <c r="J244" s="177" t="str">
        <f ca="1">IF(ISERROR($V244),"",OFFSET('Smelter Look-up'!$I$4,$V244-4,0))</f>
        <v/>
      </c>
      <c r="K244" s="216"/>
      <c r="L244" s="216"/>
      <c r="M244" s="216"/>
      <c r="N244" s="216"/>
      <c r="O244" s="216"/>
      <c r="P244" s="178"/>
      <c r="Q244" s="217"/>
      <c r="R244" s="175" t="str">
        <f ca="1">IF(ISERROR($V244),"",OFFSET('Smelter Look-up'!$C$4,$V244-4,0)&amp;"")</f>
        <v/>
      </c>
      <c r="S244" s="174" t="str">
        <f t="shared" ca="1" si="33"/>
        <v/>
      </c>
      <c r="T244" s="174" t="str">
        <f ca="1">IF(B244="","",IF(ISERROR(MATCH($J244,SorP!$B$1:$B$6279,0)),"",INDIRECT("'SorP'!$A$"&amp;MATCH($S244&amp;$J244,SorP!C:C,0))))</f>
        <v/>
      </c>
      <c r="U244" s="194"/>
      <c r="V244" s="218" t="e">
        <f>IF(C244="",NA(),IF(OR(C244="Smelter not listed",C244="Smelter not yet identified"),MATCH($B244&amp;$D244,'Smelter Look-up'!$J:$J,0),MATCH($B244&amp;$C244,'Smelter Look-up'!$J:$J,0)))</f>
        <v>#N/A</v>
      </c>
      <c r="X244" s="219">
        <f t="shared" ca="1" si="34"/>
        <v>0</v>
      </c>
      <c r="AB244" s="220" t="str">
        <f t="shared" si="35"/>
        <v/>
      </c>
    </row>
    <row r="245" spans="1:28" s="219" customFormat="1" ht="20.25">
      <c r="A245" s="174"/>
      <c r="B245" s="175" t="str">
        <f>IF(LEN(A245)=0,"",INDEX('Smelter Look-up'!$A:$A,MATCH($A245,'Smelter Look-up'!$E:$E,0)))</f>
        <v/>
      </c>
      <c r="C245" s="179" t="str">
        <f>IF(LEN(A245)=0,"",INDEX('Smelter Look-up'!$C:$C,MATCH($A245,'Smelter Look-up'!$E:$E,0)))</f>
        <v/>
      </c>
      <c r="D245" s="222"/>
      <c r="E245" s="175" t="str">
        <f ca="1">IF(ISERROR($V245),"",OFFSET('Smelter Look-up'!$D$4,$V245-4,0)&amp;"")</f>
        <v/>
      </c>
      <c r="F245" s="175" t="str">
        <f ca="1">IF(ISERROR($V245),"",OFFSET('Smelter Look-up'!$E$4,$V245-4,0))</f>
        <v/>
      </c>
      <c r="G245" s="175" t="str">
        <f ca="1">IF(C245=$X$4,IF(ISERROR($V245),"Enter smelter details","RMI"),IF(ISERROR($V245),"",OFFSET('Smelter Look-up'!$F$4,$V245-4,0)))</f>
        <v/>
      </c>
      <c r="H245" s="176" t="str">
        <f ca="1">IF(ISERROR($V245),"",OFFSET('Smelter Look-up'!$G$4,$V245-4,0))</f>
        <v/>
      </c>
      <c r="I245" s="177" t="str">
        <f ca="1">IF(ISERROR($V245),"",OFFSET('Smelter Look-up'!$H$4,$V245-4,0))</f>
        <v/>
      </c>
      <c r="J245" s="177" t="str">
        <f ca="1">IF(ISERROR($V245),"",OFFSET('Smelter Look-up'!$I$4,$V245-4,0))</f>
        <v/>
      </c>
      <c r="K245" s="216"/>
      <c r="L245" s="216"/>
      <c r="M245" s="216"/>
      <c r="N245" s="216"/>
      <c r="O245" s="216"/>
      <c r="P245" s="178"/>
      <c r="Q245" s="217"/>
      <c r="R245" s="175" t="str">
        <f ca="1">IF(ISERROR($V245),"",OFFSET('Smelter Look-up'!$C$4,$V245-4,0)&amp;"")</f>
        <v/>
      </c>
      <c r="S245" s="174" t="str">
        <f t="shared" ca="1" si="33"/>
        <v/>
      </c>
      <c r="T245" s="174" t="str">
        <f ca="1">IF(B245="","",IF(ISERROR(MATCH($J245,SorP!$B$1:$B$6279,0)),"",INDIRECT("'SorP'!$A$"&amp;MATCH($S245&amp;$J245,SorP!C:C,0))))</f>
        <v/>
      </c>
      <c r="U245" s="194"/>
      <c r="V245" s="218" t="e">
        <f>IF(C245="",NA(),IF(OR(C245="Smelter not listed",C245="Smelter not yet identified"),MATCH($B245&amp;$D245,'Smelter Look-up'!$J:$J,0),MATCH($B245&amp;$C245,'Smelter Look-up'!$J:$J,0)))</f>
        <v>#N/A</v>
      </c>
      <c r="X245" s="219">
        <f t="shared" ca="1" si="34"/>
        <v>0</v>
      </c>
      <c r="AB245" s="220" t="str">
        <f t="shared" si="35"/>
        <v/>
      </c>
    </row>
    <row r="246" spans="1:28" s="219" customFormat="1" ht="20.25">
      <c r="A246" s="174"/>
      <c r="B246" s="175" t="str">
        <f>IF(LEN(A246)=0,"",INDEX('Smelter Look-up'!$A:$A,MATCH($A246,'Smelter Look-up'!$E:$E,0)))</f>
        <v/>
      </c>
      <c r="C246" s="179" t="str">
        <f>IF(LEN(A246)=0,"",INDEX('Smelter Look-up'!$C:$C,MATCH($A246,'Smelter Look-up'!$E:$E,0)))</f>
        <v/>
      </c>
      <c r="D246" s="222"/>
      <c r="E246" s="175" t="str">
        <f ca="1">IF(ISERROR($V246),"",OFFSET('Smelter Look-up'!$D$4,$V246-4,0)&amp;"")</f>
        <v/>
      </c>
      <c r="F246" s="175" t="str">
        <f ca="1">IF(ISERROR($V246),"",OFFSET('Smelter Look-up'!$E$4,$V246-4,0))</f>
        <v/>
      </c>
      <c r="G246" s="175" t="str">
        <f ca="1">IF(C246=$X$4,IF(ISERROR($V246),"Enter smelter details","RMI"),IF(ISERROR($V246),"",OFFSET('Smelter Look-up'!$F$4,$V246-4,0)))</f>
        <v/>
      </c>
      <c r="H246" s="176" t="str">
        <f ca="1">IF(ISERROR($V246),"",OFFSET('Smelter Look-up'!$G$4,$V246-4,0))</f>
        <v/>
      </c>
      <c r="I246" s="177" t="str">
        <f ca="1">IF(ISERROR($V246),"",OFFSET('Smelter Look-up'!$H$4,$V246-4,0))</f>
        <v/>
      </c>
      <c r="J246" s="177" t="str">
        <f ca="1">IF(ISERROR($V246),"",OFFSET('Smelter Look-up'!$I$4,$V246-4,0))</f>
        <v/>
      </c>
      <c r="K246" s="216"/>
      <c r="L246" s="216"/>
      <c r="M246" s="216"/>
      <c r="N246" s="216"/>
      <c r="O246" s="216"/>
      <c r="P246" s="178"/>
      <c r="Q246" s="217"/>
      <c r="R246" s="175" t="str">
        <f ca="1">IF(ISERROR($V246),"",OFFSET('Smelter Look-up'!$C$4,$V246-4,0)&amp;"")</f>
        <v/>
      </c>
      <c r="S246" s="174" t="str">
        <f t="shared" ca="1" si="33"/>
        <v/>
      </c>
      <c r="T246" s="174" t="str">
        <f ca="1">IF(B246="","",IF(ISERROR(MATCH($J246,SorP!$B$1:$B$6279,0)),"",INDIRECT("'SorP'!$A$"&amp;MATCH($S246&amp;$J246,SorP!C:C,0))))</f>
        <v/>
      </c>
      <c r="U246" s="194"/>
      <c r="V246" s="218" t="e">
        <f>IF(C246="",NA(),IF(OR(C246="Smelter not listed",C246="Smelter not yet identified"),MATCH($B246&amp;$D246,'Smelter Look-up'!$J:$J,0),MATCH($B246&amp;$C246,'Smelter Look-up'!$J:$J,0)))</f>
        <v>#N/A</v>
      </c>
      <c r="X246" s="219">
        <f t="shared" ca="1" si="34"/>
        <v>0</v>
      </c>
      <c r="AB246" s="220" t="str">
        <f t="shared" si="35"/>
        <v/>
      </c>
    </row>
    <row r="247" spans="1:28" s="219" customFormat="1" ht="20.25">
      <c r="A247" s="174"/>
      <c r="B247" s="175" t="str">
        <f>IF(LEN(A247)=0,"",INDEX('Smelter Look-up'!$A:$A,MATCH($A247,'Smelter Look-up'!$E:$E,0)))</f>
        <v/>
      </c>
      <c r="C247" s="179" t="str">
        <f>IF(LEN(A247)=0,"",INDEX('Smelter Look-up'!$C:$C,MATCH($A247,'Smelter Look-up'!$E:$E,0)))</f>
        <v/>
      </c>
      <c r="D247" s="222"/>
      <c r="E247" s="175" t="str">
        <f ca="1">IF(ISERROR($V247),"",OFFSET('Smelter Look-up'!$D$4,$V247-4,0)&amp;"")</f>
        <v/>
      </c>
      <c r="F247" s="175" t="str">
        <f ca="1">IF(ISERROR($V247),"",OFFSET('Smelter Look-up'!$E$4,$V247-4,0))</f>
        <v/>
      </c>
      <c r="G247" s="175" t="str">
        <f ca="1">IF(C247=$X$4,IF(ISERROR($V247),"Enter smelter details","RMI"),IF(ISERROR($V247),"",OFFSET('Smelter Look-up'!$F$4,$V247-4,0)))</f>
        <v/>
      </c>
      <c r="H247" s="176" t="str">
        <f ca="1">IF(ISERROR($V247),"",OFFSET('Smelter Look-up'!$G$4,$V247-4,0))</f>
        <v/>
      </c>
      <c r="I247" s="177" t="str">
        <f ca="1">IF(ISERROR($V247),"",OFFSET('Smelter Look-up'!$H$4,$V247-4,0))</f>
        <v/>
      </c>
      <c r="J247" s="177" t="str">
        <f ca="1">IF(ISERROR($V247),"",OFFSET('Smelter Look-up'!$I$4,$V247-4,0))</f>
        <v/>
      </c>
      <c r="K247" s="216"/>
      <c r="L247" s="216"/>
      <c r="M247" s="216"/>
      <c r="N247" s="216"/>
      <c r="O247" s="216"/>
      <c r="P247" s="178"/>
      <c r="Q247" s="217"/>
      <c r="R247" s="175" t="str">
        <f ca="1">IF(ISERROR($V247),"",OFFSET('Smelter Look-up'!$C$4,$V247-4,0)&amp;"")</f>
        <v/>
      </c>
      <c r="S247" s="174" t="str">
        <f t="shared" ca="1" si="33"/>
        <v/>
      </c>
      <c r="T247" s="174" t="str">
        <f ca="1">IF(B247="","",IF(ISERROR(MATCH($J247,SorP!$B$1:$B$6279,0)),"",INDIRECT("'SorP'!$A$"&amp;MATCH($S247&amp;$J247,SorP!C:C,0))))</f>
        <v/>
      </c>
      <c r="U247" s="194"/>
      <c r="V247" s="218" t="e">
        <f>IF(C247="",NA(),IF(OR(C247="Smelter not listed",C247="Smelter not yet identified"),MATCH($B247&amp;$D247,'Smelter Look-up'!$J:$J,0),MATCH($B247&amp;$C247,'Smelter Look-up'!$J:$J,0)))</f>
        <v>#N/A</v>
      </c>
      <c r="X247" s="219">
        <f t="shared" ca="1" si="34"/>
        <v>0</v>
      </c>
      <c r="AB247" s="220" t="str">
        <f t="shared" si="35"/>
        <v/>
      </c>
    </row>
    <row r="248" spans="1:28" s="219" customFormat="1" ht="20.25">
      <c r="A248" s="174"/>
      <c r="B248" s="175" t="str">
        <f>IF(LEN(A248)=0,"",INDEX('Smelter Look-up'!$A:$A,MATCH($A248,'Smelter Look-up'!$E:$E,0)))</f>
        <v/>
      </c>
      <c r="C248" s="179" t="str">
        <f>IF(LEN(A248)=0,"",INDEX('Smelter Look-up'!$C:$C,MATCH($A248,'Smelter Look-up'!$E:$E,0)))</f>
        <v/>
      </c>
      <c r="D248" s="222"/>
      <c r="E248" s="175" t="str">
        <f ca="1">IF(ISERROR($V248),"",OFFSET('Smelter Look-up'!$D$4,$V248-4,0)&amp;"")</f>
        <v/>
      </c>
      <c r="F248" s="175" t="str">
        <f ca="1">IF(ISERROR($V248),"",OFFSET('Smelter Look-up'!$E$4,$V248-4,0))</f>
        <v/>
      </c>
      <c r="G248" s="175" t="str">
        <f ca="1">IF(C248=$X$4,IF(ISERROR($V248),"Enter smelter details","RMI"),IF(ISERROR($V248),"",OFFSET('Smelter Look-up'!$F$4,$V248-4,0)))</f>
        <v/>
      </c>
      <c r="H248" s="176" t="str">
        <f ca="1">IF(ISERROR($V248),"",OFFSET('Smelter Look-up'!$G$4,$V248-4,0))</f>
        <v/>
      </c>
      <c r="I248" s="177" t="str">
        <f ca="1">IF(ISERROR($V248),"",OFFSET('Smelter Look-up'!$H$4,$V248-4,0))</f>
        <v/>
      </c>
      <c r="J248" s="177" t="str">
        <f ca="1">IF(ISERROR($V248),"",OFFSET('Smelter Look-up'!$I$4,$V248-4,0))</f>
        <v/>
      </c>
      <c r="K248" s="216"/>
      <c r="L248" s="216"/>
      <c r="M248" s="216"/>
      <c r="N248" s="216"/>
      <c r="O248" s="216"/>
      <c r="P248" s="178"/>
      <c r="Q248" s="217"/>
      <c r="R248" s="175" t="str">
        <f ca="1">IF(ISERROR($V248),"",OFFSET('Smelter Look-up'!$C$4,$V248-4,0)&amp;"")</f>
        <v/>
      </c>
      <c r="S248" s="174" t="str">
        <f t="shared" ca="1" si="33"/>
        <v/>
      </c>
      <c r="T248" s="174" t="str">
        <f ca="1">IF(B248="","",IF(ISERROR(MATCH($J248,SorP!$B$1:$B$6279,0)),"",INDIRECT("'SorP'!$A$"&amp;MATCH($S248&amp;$J248,SorP!C:C,0))))</f>
        <v/>
      </c>
      <c r="U248" s="194"/>
      <c r="V248" s="218" t="e">
        <f>IF(C248="",NA(),IF(OR(C248="Smelter not listed",C248="Smelter not yet identified"),MATCH($B248&amp;$D248,'Smelter Look-up'!$J:$J,0),MATCH($B248&amp;$C248,'Smelter Look-up'!$J:$J,0)))</f>
        <v>#N/A</v>
      </c>
      <c r="X248" s="219">
        <f t="shared" ca="1" si="34"/>
        <v>0</v>
      </c>
      <c r="AB248" s="220" t="str">
        <f t="shared" si="35"/>
        <v/>
      </c>
    </row>
    <row r="249" spans="1:28" s="219" customFormat="1" ht="20.25">
      <c r="A249" s="174"/>
      <c r="B249" s="175" t="str">
        <f>IF(LEN(A249)=0,"",INDEX('Smelter Look-up'!$A:$A,MATCH($A249,'Smelter Look-up'!$E:$E,0)))</f>
        <v/>
      </c>
      <c r="C249" s="179" t="str">
        <f>IF(LEN(A249)=0,"",INDEX('Smelter Look-up'!$C:$C,MATCH($A249,'Smelter Look-up'!$E:$E,0)))</f>
        <v/>
      </c>
      <c r="D249" s="222"/>
      <c r="E249" s="175" t="str">
        <f ca="1">IF(ISERROR($V249),"",OFFSET('Smelter Look-up'!$D$4,$V249-4,0)&amp;"")</f>
        <v/>
      </c>
      <c r="F249" s="175" t="str">
        <f ca="1">IF(ISERROR($V249),"",OFFSET('Smelter Look-up'!$E$4,$V249-4,0))</f>
        <v/>
      </c>
      <c r="G249" s="175" t="str">
        <f ca="1">IF(C249=$X$4,IF(ISERROR($V249),"Enter smelter details","RMI"),IF(ISERROR($V249),"",OFFSET('Smelter Look-up'!$F$4,$V249-4,0)))</f>
        <v/>
      </c>
      <c r="H249" s="176" t="str">
        <f ca="1">IF(ISERROR($V249),"",OFFSET('Smelter Look-up'!$G$4,$V249-4,0))</f>
        <v/>
      </c>
      <c r="I249" s="177" t="str">
        <f ca="1">IF(ISERROR($V249),"",OFFSET('Smelter Look-up'!$H$4,$V249-4,0))</f>
        <v/>
      </c>
      <c r="J249" s="177" t="str">
        <f ca="1">IF(ISERROR($V249),"",OFFSET('Smelter Look-up'!$I$4,$V249-4,0))</f>
        <v/>
      </c>
      <c r="K249" s="216"/>
      <c r="L249" s="216"/>
      <c r="M249" s="216"/>
      <c r="N249" s="216"/>
      <c r="O249" s="216"/>
      <c r="P249" s="178"/>
      <c r="Q249" s="217"/>
      <c r="R249" s="175" t="str">
        <f ca="1">IF(ISERROR($V249),"",OFFSET('Smelter Look-up'!$C$4,$V249-4,0)&amp;"")</f>
        <v/>
      </c>
      <c r="S249" s="174" t="str">
        <f t="shared" ca="1" si="33"/>
        <v/>
      </c>
      <c r="T249" s="174" t="str">
        <f ca="1">IF(B249="","",IF(ISERROR(MATCH($J249,SorP!$B$1:$B$6279,0)),"",INDIRECT("'SorP'!$A$"&amp;MATCH($S249&amp;$J249,SorP!C:C,0))))</f>
        <v/>
      </c>
      <c r="U249" s="194"/>
      <c r="V249" s="218" t="e">
        <f>IF(C249="",NA(),IF(OR(C249="Smelter not listed",C249="Smelter not yet identified"),MATCH($B249&amp;$D249,'Smelter Look-up'!$J:$J,0),MATCH($B249&amp;$C249,'Smelter Look-up'!$J:$J,0)))</f>
        <v>#N/A</v>
      </c>
      <c r="X249" s="219">
        <f t="shared" ca="1" si="34"/>
        <v>0</v>
      </c>
      <c r="AB249" s="220" t="str">
        <f t="shared" si="35"/>
        <v/>
      </c>
    </row>
    <row r="250" spans="1:28" s="219" customFormat="1" ht="20.25">
      <c r="A250" s="174"/>
      <c r="B250" s="175" t="str">
        <f>IF(LEN(A250)=0,"",INDEX('Smelter Look-up'!$A:$A,MATCH($A250,'Smelter Look-up'!$E:$E,0)))</f>
        <v/>
      </c>
      <c r="C250" s="179" t="str">
        <f>IF(LEN(A250)=0,"",INDEX('Smelter Look-up'!$C:$C,MATCH($A250,'Smelter Look-up'!$E:$E,0)))</f>
        <v/>
      </c>
      <c r="D250" s="222"/>
      <c r="E250" s="175" t="str">
        <f ca="1">IF(ISERROR($V250),"",OFFSET('Smelter Look-up'!$D$4,$V250-4,0)&amp;"")</f>
        <v/>
      </c>
      <c r="F250" s="175" t="str">
        <f ca="1">IF(ISERROR($V250),"",OFFSET('Smelter Look-up'!$E$4,$V250-4,0))</f>
        <v/>
      </c>
      <c r="G250" s="175" t="str">
        <f ca="1">IF(C250=$X$4,IF(ISERROR($V250),"Enter smelter details","RMI"),IF(ISERROR($V250),"",OFFSET('Smelter Look-up'!$F$4,$V250-4,0)))</f>
        <v/>
      </c>
      <c r="H250" s="176" t="str">
        <f ca="1">IF(ISERROR($V250),"",OFFSET('Smelter Look-up'!$G$4,$V250-4,0))</f>
        <v/>
      </c>
      <c r="I250" s="177" t="str">
        <f ca="1">IF(ISERROR($V250),"",OFFSET('Smelter Look-up'!$H$4,$V250-4,0))</f>
        <v/>
      </c>
      <c r="J250" s="177" t="str">
        <f ca="1">IF(ISERROR($V250),"",OFFSET('Smelter Look-up'!$I$4,$V250-4,0))</f>
        <v/>
      </c>
      <c r="K250" s="216"/>
      <c r="L250" s="216"/>
      <c r="M250" s="216"/>
      <c r="N250" s="216"/>
      <c r="O250" s="216"/>
      <c r="P250" s="178"/>
      <c r="Q250" s="217"/>
      <c r="R250" s="175" t="str">
        <f ca="1">IF(ISERROR($V250),"",OFFSET('Smelter Look-up'!$C$4,$V250-4,0)&amp;"")</f>
        <v/>
      </c>
      <c r="S250" s="174" t="str">
        <f t="shared" ca="1" si="33"/>
        <v/>
      </c>
      <c r="T250" s="174" t="str">
        <f ca="1">IF(B250="","",IF(ISERROR(MATCH($J250,SorP!$B$1:$B$6279,0)),"",INDIRECT("'SorP'!$A$"&amp;MATCH($S250&amp;$J250,SorP!C:C,0))))</f>
        <v/>
      </c>
      <c r="U250" s="194"/>
      <c r="V250" s="218" t="e">
        <f>IF(C250="",NA(),IF(OR(C250="Smelter not listed",C250="Smelter not yet identified"),MATCH($B250&amp;$D250,'Smelter Look-up'!$J:$J,0),MATCH($B250&amp;$C250,'Smelter Look-up'!$J:$J,0)))</f>
        <v>#N/A</v>
      </c>
      <c r="X250" s="219">
        <f t="shared" ca="1" si="34"/>
        <v>0</v>
      </c>
      <c r="AB250" s="220" t="str">
        <f t="shared" si="35"/>
        <v/>
      </c>
    </row>
    <row r="251" spans="1:28" s="219" customFormat="1" ht="20.25">
      <c r="A251" s="174"/>
      <c r="B251" s="175" t="str">
        <f>IF(LEN(A251)=0,"",INDEX('Smelter Look-up'!$A:$A,MATCH($A251,'Smelter Look-up'!$E:$E,0)))</f>
        <v/>
      </c>
      <c r="C251" s="179" t="str">
        <f>IF(LEN(A251)=0,"",INDEX('Smelter Look-up'!$C:$C,MATCH($A251,'Smelter Look-up'!$E:$E,0)))</f>
        <v/>
      </c>
      <c r="D251" s="222"/>
      <c r="E251" s="175" t="str">
        <f ca="1">IF(ISERROR($V251),"",OFFSET('Smelter Look-up'!$D$4,$V251-4,0)&amp;"")</f>
        <v/>
      </c>
      <c r="F251" s="175" t="str">
        <f ca="1">IF(ISERROR($V251),"",OFFSET('Smelter Look-up'!$E$4,$V251-4,0))</f>
        <v/>
      </c>
      <c r="G251" s="175" t="str">
        <f ca="1">IF(C251=$X$4,IF(ISERROR($V251),"Enter smelter details","RMI"),IF(ISERROR($V251),"",OFFSET('Smelter Look-up'!$F$4,$V251-4,0)))</f>
        <v/>
      </c>
      <c r="H251" s="176" t="str">
        <f ca="1">IF(ISERROR($V251),"",OFFSET('Smelter Look-up'!$G$4,$V251-4,0))</f>
        <v/>
      </c>
      <c r="I251" s="177" t="str">
        <f ca="1">IF(ISERROR($V251),"",OFFSET('Smelter Look-up'!$H$4,$V251-4,0))</f>
        <v/>
      </c>
      <c r="J251" s="177" t="str">
        <f ca="1">IF(ISERROR($V251),"",OFFSET('Smelter Look-up'!$I$4,$V251-4,0))</f>
        <v/>
      </c>
      <c r="K251" s="216"/>
      <c r="L251" s="216"/>
      <c r="M251" s="216"/>
      <c r="N251" s="216"/>
      <c r="O251" s="216"/>
      <c r="P251" s="178"/>
      <c r="Q251" s="217"/>
      <c r="R251" s="175" t="str">
        <f ca="1">IF(ISERROR($V251),"",OFFSET('Smelter Look-up'!$C$4,$V251-4,0)&amp;"")</f>
        <v/>
      </c>
      <c r="S251" s="174" t="str">
        <f t="shared" ca="1" si="33"/>
        <v/>
      </c>
      <c r="T251" s="174" t="str">
        <f ca="1">IF(B251="","",IF(ISERROR(MATCH($J251,SorP!$B$1:$B$6279,0)),"",INDIRECT("'SorP'!$A$"&amp;MATCH($S251&amp;$J251,SorP!C:C,0))))</f>
        <v/>
      </c>
      <c r="U251" s="194"/>
      <c r="V251" s="218" t="e">
        <f>IF(C251="",NA(),IF(OR(C251="Smelter not listed",C251="Smelter not yet identified"),MATCH($B251&amp;$D251,'Smelter Look-up'!$J:$J,0),MATCH($B251&amp;$C251,'Smelter Look-up'!$J:$J,0)))</f>
        <v>#N/A</v>
      </c>
      <c r="X251" s="219">
        <f t="shared" ca="1" si="34"/>
        <v>0</v>
      </c>
      <c r="AB251" s="220" t="str">
        <f t="shared" si="35"/>
        <v/>
      </c>
    </row>
    <row r="252" spans="1:28" s="219" customFormat="1" ht="20.25">
      <c r="A252" s="174"/>
      <c r="B252" s="175" t="str">
        <f>IF(LEN(A252)=0,"",INDEX('Smelter Look-up'!$A:$A,MATCH($A252,'Smelter Look-up'!$E:$E,0)))</f>
        <v/>
      </c>
      <c r="C252" s="179" t="str">
        <f>IF(LEN(A252)=0,"",INDEX('Smelter Look-up'!$C:$C,MATCH($A252,'Smelter Look-up'!$E:$E,0)))</f>
        <v/>
      </c>
      <c r="D252" s="222"/>
      <c r="E252" s="175" t="str">
        <f ca="1">IF(ISERROR($V252),"",OFFSET('Smelter Look-up'!$D$4,$V252-4,0)&amp;"")</f>
        <v/>
      </c>
      <c r="F252" s="175" t="str">
        <f ca="1">IF(ISERROR($V252),"",OFFSET('Smelter Look-up'!$E$4,$V252-4,0))</f>
        <v/>
      </c>
      <c r="G252" s="175" t="str">
        <f ca="1">IF(C252=$X$4,IF(ISERROR($V252),"Enter smelter details","RMI"),IF(ISERROR($V252),"",OFFSET('Smelter Look-up'!$F$4,$V252-4,0)))</f>
        <v/>
      </c>
      <c r="H252" s="176" t="str">
        <f ca="1">IF(ISERROR($V252),"",OFFSET('Smelter Look-up'!$G$4,$V252-4,0))</f>
        <v/>
      </c>
      <c r="I252" s="177" t="str">
        <f ca="1">IF(ISERROR($V252),"",OFFSET('Smelter Look-up'!$H$4,$V252-4,0))</f>
        <v/>
      </c>
      <c r="J252" s="177" t="str">
        <f ca="1">IF(ISERROR($V252),"",OFFSET('Smelter Look-up'!$I$4,$V252-4,0))</f>
        <v/>
      </c>
      <c r="K252" s="216"/>
      <c r="L252" s="216"/>
      <c r="M252" s="216"/>
      <c r="N252" s="216"/>
      <c r="O252" s="216"/>
      <c r="P252" s="178"/>
      <c r="Q252" s="217"/>
      <c r="R252" s="175" t="str">
        <f ca="1">IF(ISERROR($V252),"",OFFSET('Smelter Look-up'!$C$4,$V252-4,0)&amp;"")</f>
        <v/>
      </c>
      <c r="S252" s="174" t="str">
        <f t="shared" ca="1" si="33"/>
        <v/>
      </c>
      <c r="T252" s="174" t="str">
        <f ca="1">IF(B252="","",IF(ISERROR(MATCH($J252,SorP!$B$1:$B$6279,0)),"",INDIRECT("'SorP'!$A$"&amp;MATCH($S252&amp;$J252,SorP!C:C,0))))</f>
        <v/>
      </c>
      <c r="U252" s="194"/>
      <c r="V252" s="218" t="e">
        <f>IF(C252="",NA(),IF(OR(C252="Smelter not listed",C252="Smelter not yet identified"),MATCH($B252&amp;$D252,'Smelter Look-up'!$J:$J,0),MATCH($B252&amp;$C252,'Smelter Look-up'!$J:$J,0)))</f>
        <v>#N/A</v>
      </c>
      <c r="X252" s="219">
        <f t="shared" ca="1" si="34"/>
        <v>0</v>
      </c>
      <c r="AB252" s="220" t="str">
        <f t="shared" si="35"/>
        <v/>
      </c>
    </row>
    <row r="253" spans="1:28" s="219" customFormat="1" ht="20.25">
      <c r="A253" s="174"/>
      <c r="B253" s="175" t="str">
        <f>IF(LEN(A253)=0,"",INDEX('Smelter Look-up'!$A:$A,MATCH($A253,'Smelter Look-up'!$E:$E,0)))</f>
        <v/>
      </c>
      <c r="C253" s="179" t="str">
        <f>IF(LEN(A253)=0,"",INDEX('Smelter Look-up'!$C:$C,MATCH($A253,'Smelter Look-up'!$E:$E,0)))</f>
        <v/>
      </c>
      <c r="D253" s="222"/>
      <c r="E253" s="175" t="str">
        <f ca="1">IF(ISERROR($V253),"",OFFSET('Smelter Look-up'!$D$4,$V253-4,0)&amp;"")</f>
        <v/>
      </c>
      <c r="F253" s="175" t="str">
        <f ca="1">IF(ISERROR($V253),"",OFFSET('Smelter Look-up'!$E$4,$V253-4,0))</f>
        <v/>
      </c>
      <c r="G253" s="175" t="str">
        <f ca="1">IF(C253=$X$4,IF(ISERROR($V253),"Enter smelter details","RMI"),IF(ISERROR($V253),"",OFFSET('Smelter Look-up'!$F$4,$V253-4,0)))</f>
        <v/>
      </c>
      <c r="H253" s="176" t="str">
        <f ca="1">IF(ISERROR($V253),"",OFFSET('Smelter Look-up'!$G$4,$V253-4,0))</f>
        <v/>
      </c>
      <c r="I253" s="177" t="str">
        <f ca="1">IF(ISERROR($V253),"",OFFSET('Smelter Look-up'!$H$4,$V253-4,0))</f>
        <v/>
      </c>
      <c r="J253" s="177" t="str">
        <f ca="1">IF(ISERROR($V253),"",OFFSET('Smelter Look-up'!$I$4,$V253-4,0))</f>
        <v/>
      </c>
      <c r="K253" s="216"/>
      <c r="L253" s="216"/>
      <c r="M253" s="216"/>
      <c r="N253" s="216"/>
      <c r="O253" s="216"/>
      <c r="P253" s="178"/>
      <c r="Q253" s="217"/>
      <c r="R253" s="175" t="str">
        <f ca="1">IF(ISERROR($V253),"",OFFSET('Smelter Look-up'!$C$4,$V253-4,0)&amp;"")</f>
        <v/>
      </c>
      <c r="S253" s="174" t="str">
        <f t="shared" ca="1" si="33"/>
        <v/>
      </c>
      <c r="T253" s="174" t="str">
        <f ca="1">IF(B253="","",IF(ISERROR(MATCH($J253,SorP!$B$1:$B$6279,0)),"",INDIRECT("'SorP'!$A$"&amp;MATCH($S253&amp;$J253,SorP!C:C,0))))</f>
        <v/>
      </c>
      <c r="U253" s="194"/>
      <c r="V253" s="218" t="e">
        <f>IF(C253="",NA(),IF(OR(C253="Smelter not listed",C253="Smelter not yet identified"),MATCH($B253&amp;$D253,'Smelter Look-up'!$J:$J,0),MATCH($B253&amp;$C253,'Smelter Look-up'!$J:$J,0)))</f>
        <v>#N/A</v>
      </c>
      <c r="X253" s="219">
        <f t="shared" ca="1" si="34"/>
        <v>0</v>
      </c>
      <c r="AB253" s="220" t="str">
        <f t="shared" si="35"/>
        <v/>
      </c>
    </row>
    <row r="254" spans="1:28" s="219" customFormat="1" ht="20.25">
      <c r="A254" s="174"/>
      <c r="B254" s="175" t="str">
        <f>IF(LEN(A254)=0,"",INDEX('Smelter Look-up'!$A:$A,MATCH($A254,'Smelter Look-up'!$E:$E,0)))</f>
        <v/>
      </c>
      <c r="C254" s="179" t="str">
        <f>IF(LEN(A254)=0,"",INDEX('Smelter Look-up'!$C:$C,MATCH($A254,'Smelter Look-up'!$E:$E,0)))</f>
        <v/>
      </c>
      <c r="D254" s="222"/>
      <c r="E254" s="175" t="str">
        <f ca="1">IF(ISERROR($V254),"",OFFSET('Smelter Look-up'!$D$4,$V254-4,0)&amp;"")</f>
        <v/>
      </c>
      <c r="F254" s="175" t="str">
        <f ca="1">IF(ISERROR($V254),"",OFFSET('Smelter Look-up'!$E$4,$V254-4,0))</f>
        <v/>
      </c>
      <c r="G254" s="175" t="str">
        <f ca="1">IF(C254=$X$4,IF(ISERROR($V254),"Enter smelter details","RMI"),IF(ISERROR($V254),"",OFFSET('Smelter Look-up'!$F$4,$V254-4,0)))</f>
        <v/>
      </c>
      <c r="H254" s="176" t="str">
        <f ca="1">IF(ISERROR($V254),"",OFFSET('Smelter Look-up'!$G$4,$V254-4,0))</f>
        <v/>
      </c>
      <c r="I254" s="177" t="str">
        <f ca="1">IF(ISERROR($V254),"",OFFSET('Smelter Look-up'!$H$4,$V254-4,0))</f>
        <v/>
      </c>
      <c r="J254" s="177" t="str">
        <f ca="1">IF(ISERROR($V254),"",OFFSET('Smelter Look-up'!$I$4,$V254-4,0))</f>
        <v/>
      </c>
      <c r="K254" s="216"/>
      <c r="L254" s="216"/>
      <c r="M254" s="216"/>
      <c r="N254" s="216"/>
      <c r="O254" s="216"/>
      <c r="P254" s="178"/>
      <c r="Q254" s="217"/>
      <c r="R254" s="175" t="str">
        <f ca="1">IF(ISERROR($V254),"",OFFSET('Smelter Look-up'!$C$4,$V254-4,0)&amp;"")</f>
        <v/>
      </c>
      <c r="S254" s="174" t="str">
        <f t="shared" ca="1" si="33"/>
        <v/>
      </c>
      <c r="T254" s="174" t="str">
        <f ca="1">IF(B254="","",IF(ISERROR(MATCH($J254,SorP!$B$1:$B$6279,0)),"",INDIRECT("'SorP'!$A$"&amp;MATCH($S254&amp;$J254,SorP!C:C,0))))</f>
        <v/>
      </c>
      <c r="U254" s="194"/>
      <c r="V254" s="218" t="e">
        <f>IF(C254="",NA(),IF(OR(C254="Smelter not listed",C254="Smelter not yet identified"),MATCH($B254&amp;$D254,'Smelter Look-up'!$J:$J,0),MATCH($B254&amp;$C254,'Smelter Look-up'!$J:$J,0)))</f>
        <v>#N/A</v>
      </c>
      <c r="X254" s="219">
        <f t="shared" ca="1" si="34"/>
        <v>0</v>
      </c>
      <c r="AB254" s="220" t="str">
        <f t="shared" si="35"/>
        <v/>
      </c>
    </row>
    <row r="255" spans="1:28" s="219" customFormat="1" ht="20.25">
      <c r="A255" s="174"/>
      <c r="B255" s="175" t="str">
        <f>IF(LEN(A255)=0,"",INDEX('Smelter Look-up'!$A:$A,MATCH($A255,'Smelter Look-up'!$E:$E,0)))</f>
        <v/>
      </c>
      <c r="C255" s="179" t="str">
        <f>IF(LEN(A255)=0,"",INDEX('Smelter Look-up'!$C:$C,MATCH($A255,'Smelter Look-up'!$E:$E,0)))</f>
        <v/>
      </c>
      <c r="D255" s="222"/>
      <c r="E255" s="175" t="str">
        <f ca="1">IF(ISERROR($V255),"",OFFSET('Smelter Look-up'!$D$4,$V255-4,0)&amp;"")</f>
        <v/>
      </c>
      <c r="F255" s="175" t="str">
        <f ca="1">IF(ISERROR($V255),"",OFFSET('Smelter Look-up'!$E$4,$V255-4,0))</f>
        <v/>
      </c>
      <c r="G255" s="175" t="str">
        <f ca="1">IF(C255=$X$4,IF(ISERROR($V255),"Enter smelter details","RMI"),IF(ISERROR($V255),"",OFFSET('Smelter Look-up'!$F$4,$V255-4,0)))</f>
        <v/>
      </c>
      <c r="H255" s="176" t="str">
        <f ca="1">IF(ISERROR($V255),"",OFFSET('Smelter Look-up'!$G$4,$V255-4,0))</f>
        <v/>
      </c>
      <c r="I255" s="177" t="str">
        <f ca="1">IF(ISERROR($V255),"",OFFSET('Smelter Look-up'!$H$4,$V255-4,0))</f>
        <v/>
      </c>
      <c r="J255" s="177" t="str">
        <f ca="1">IF(ISERROR($V255),"",OFFSET('Smelter Look-up'!$I$4,$V255-4,0))</f>
        <v/>
      </c>
      <c r="K255" s="216"/>
      <c r="L255" s="216"/>
      <c r="M255" s="216"/>
      <c r="N255" s="216"/>
      <c r="O255" s="216"/>
      <c r="P255" s="178"/>
      <c r="Q255" s="217"/>
      <c r="R255" s="175" t="str">
        <f ca="1">IF(ISERROR($V255),"",OFFSET('Smelter Look-up'!$C$4,$V255-4,0)&amp;"")</f>
        <v/>
      </c>
      <c r="S255" s="174" t="str">
        <f t="shared" ca="1" si="33"/>
        <v/>
      </c>
      <c r="T255" s="174" t="str">
        <f ca="1">IF(B255="","",IF(ISERROR(MATCH($J255,SorP!$B$1:$B$6279,0)),"",INDIRECT("'SorP'!$A$"&amp;MATCH($S255&amp;$J255,SorP!C:C,0))))</f>
        <v/>
      </c>
      <c r="U255" s="194"/>
      <c r="V255" s="218" t="e">
        <f>IF(C255="",NA(),IF(OR(C255="Smelter not listed",C255="Smelter not yet identified"),MATCH($B255&amp;$D255,'Smelter Look-up'!$J:$J,0),MATCH($B255&amp;$C255,'Smelter Look-up'!$J:$J,0)))</f>
        <v>#N/A</v>
      </c>
      <c r="X255" s="219">
        <f t="shared" ca="1" si="34"/>
        <v>0</v>
      </c>
      <c r="AB255" s="220" t="str">
        <f t="shared" si="35"/>
        <v/>
      </c>
    </row>
    <row r="256" spans="1:28" s="219" customFormat="1" ht="20.25">
      <c r="A256" s="174"/>
      <c r="B256" s="175" t="str">
        <f>IF(LEN(A256)=0,"",INDEX('Smelter Look-up'!$A:$A,MATCH($A256,'Smelter Look-up'!$E:$E,0)))</f>
        <v/>
      </c>
      <c r="C256" s="179" t="str">
        <f>IF(LEN(A256)=0,"",INDEX('Smelter Look-up'!$C:$C,MATCH($A256,'Smelter Look-up'!$E:$E,0)))</f>
        <v/>
      </c>
      <c r="D256" s="222"/>
      <c r="E256" s="175" t="str">
        <f ca="1">IF(ISERROR($V256),"",OFFSET('Smelter Look-up'!$D$4,$V256-4,0)&amp;"")</f>
        <v/>
      </c>
      <c r="F256" s="175" t="str">
        <f ca="1">IF(ISERROR($V256),"",OFFSET('Smelter Look-up'!$E$4,$V256-4,0))</f>
        <v/>
      </c>
      <c r="G256" s="175" t="str">
        <f ca="1">IF(C256=$X$4,IF(ISERROR($V256),"Enter smelter details","RMI"),IF(ISERROR($V256),"",OFFSET('Smelter Look-up'!$F$4,$V256-4,0)))</f>
        <v/>
      </c>
      <c r="H256" s="176" t="str">
        <f ca="1">IF(ISERROR($V256),"",OFFSET('Smelter Look-up'!$G$4,$V256-4,0))</f>
        <v/>
      </c>
      <c r="I256" s="177" t="str">
        <f ca="1">IF(ISERROR($V256),"",OFFSET('Smelter Look-up'!$H$4,$V256-4,0))</f>
        <v/>
      </c>
      <c r="J256" s="177" t="str">
        <f ca="1">IF(ISERROR($V256),"",OFFSET('Smelter Look-up'!$I$4,$V256-4,0))</f>
        <v/>
      </c>
      <c r="K256" s="216"/>
      <c r="L256" s="216"/>
      <c r="M256" s="216"/>
      <c r="N256" s="216"/>
      <c r="O256" s="216"/>
      <c r="P256" s="178"/>
      <c r="Q256" s="217"/>
      <c r="R256" s="175" t="str">
        <f ca="1">IF(ISERROR($V256),"",OFFSET('Smelter Look-up'!$C$4,$V256-4,0)&amp;"")</f>
        <v/>
      </c>
      <c r="S256" s="174" t="str">
        <f t="shared" ca="1" si="33"/>
        <v/>
      </c>
      <c r="T256" s="174" t="str">
        <f ca="1">IF(B256="","",IF(ISERROR(MATCH($J256,SorP!$B$1:$B$6279,0)),"",INDIRECT("'SorP'!$A$"&amp;MATCH($S256&amp;$J256,SorP!C:C,0))))</f>
        <v/>
      </c>
      <c r="U256" s="194"/>
      <c r="V256" s="218" t="e">
        <f>IF(C256="",NA(),IF(OR(C256="Smelter not listed",C256="Smelter not yet identified"),MATCH($B256&amp;$D256,'Smelter Look-up'!$J:$J,0),MATCH($B256&amp;$C256,'Smelter Look-up'!$J:$J,0)))</f>
        <v>#N/A</v>
      </c>
      <c r="X256" s="219">
        <f t="shared" ca="1" si="34"/>
        <v>0</v>
      </c>
      <c r="AB256" s="220" t="str">
        <f t="shared" si="35"/>
        <v/>
      </c>
    </row>
    <row r="257" spans="1:28" s="219" customFormat="1" ht="20.25">
      <c r="A257" s="174"/>
      <c r="B257" s="175" t="str">
        <f>IF(LEN(A257)=0,"",INDEX('Smelter Look-up'!$A:$A,MATCH($A257,'Smelter Look-up'!$E:$E,0)))</f>
        <v/>
      </c>
      <c r="C257" s="179" t="str">
        <f>IF(LEN(A257)=0,"",INDEX('Smelter Look-up'!$C:$C,MATCH($A257,'Smelter Look-up'!$E:$E,0)))</f>
        <v/>
      </c>
      <c r="D257" s="222"/>
      <c r="E257" s="175" t="str">
        <f ca="1">IF(ISERROR($V257),"",OFFSET('Smelter Look-up'!$D$4,$V257-4,0)&amp;"")</f>
        <v/>
      </c>
      <c r="F257" s="175" t="str">
        <f ca="1">IF(ISERROR($V257),"",OFFSET('Smelter Look-up'!$E$4,$V257-4,0))</f>
        <v/>
      </c>
      <c r="G257" s="175" t="str">
        <f ca="1">IF(C257=$X$4,IF(ISERROR($V257),"Enter smelter details","RMI"),IF(ISERROR($V257),"",OFFSET('Smelter Look-up'!$F$4,$V257-4,0)))</f>
        <v/>
      </c>
      <c r="H257" s="176" t="str">
        <f ca="1">IF(ISERROR($V257),"",OFFSET('Smelter Look-up'!$G$4,$V257-4,0))</f>
        <v/>
      </c>
      <c r="I257" s="177" t="str">
        <f ca="1">IF(ISERROR($V257),"",OFFSET('Smelter Look-up'!$H$4,$V257-4,0))</f>
        <v/>
      </c>
      <c r="J257" s="177" t="str">
        <f ca="1">IF(ISERROR($V257),"",OFFSET('Smelter Look-up'!$I$4,$V257-4,0))</f>
        <v/>
      </c>
      <c r="K257" s="216"/>
      <c r="L257" s="216"/>
      <c r="M257" s="216"/>
      <c r="N257" s="216"/>
      <c r="O257" s="216"/>
      <c r="P257" s="178"/>
      <c r="Q257" s="217"/>
      <c r="R257" s="175" t="str">
        <f ca="1">IF(ISERROR($V257),"",OFFSET('Smelter Look-up'!$C$4,$V257-4,0)&amp;"")</f>
        <v/>
      </c>
      <c r="S257" s="174" t="str">
        <f t="shared" ca="1" si="33"/>
        <v/>
      </c>
      <c r="T257" s="174" t="str">
        <f ca="1">IF(B257="","",IF(ISERROR(MATCH($J257,SorP!$B$1:$B$6279,0)),"",INDIRECT("'SorP'!$A$"&amp;MATCH($S257&amp;$J257,SorP!C:C,0))))</f>
        <v/>
      </c>
      <c r="U257" s="194"/>
      <c r="V257" s="218" t="e">
        <f>IF(C257="",NA(),IF(OR(C257="Smelter not listed",C257="Smelter not yet identified"),MATCH($B257&amp;$D257,'Smelter Look-up'!$J:$J,0),MATCH($B257&amp;$C257,'Smelter Look-up'!$J:$J,0)))</f>
        <v>#N/A</v>
      </c>
      <c r="X257" s="219">
        <f t="shared" ca="1" si="34"/>
        <v>0</v>
      </c>
      <c r="AB257" s="220" t="str">
        <f t="shared" si="35"/>
        <v/>
      </c>
    </row>
    <row r="258" spans="1:28" s="219" customFormat="1" ht="20.25">
      <c r="A258" s="174"/>
      <c r="B258" s="175" t="str">
        <f>IF(LEN(A258)=0,"",INDEX('Smelter Look-up'!$A:$A,MATCH($A258,'Smelter Look-up'!$E:$E,0)))</f>
        <v/>
      </c>
      <c r="C258" s="179" t="str">
        <f>IF(LEN(A258)=0,"",INDEX('Smelter Look-up'!$C:$C,MATCH($A258,'Smelter Look-up'!$E:$E,0)))</f>
        <v/>
      </c>
      <c r="D258" s="222"/>
      <c r="E258" s="175" t="str">
        <f ca="1">IF(ISERROR($V258),"",OFFSET('Smelter Look-up'!$D$4,$V258-4,0)&amp;"")</f>
        <v/>
      </c>
      <c r="F258" s="175" t="str">
        <f ca="1">IF(ISERROR($V258),"",OFFSET('Smelter Look-up'!$E$4,$V258-4,0))</f>
        <v/>
      </c>
      <c r="G258" s="175" t="str">
        <f ca="1">IF(C258=$X$4,IF(ISERROR($V258),"Enter smelter details","RMI"),IF(ISERROR($V258),"",OFFSET('Smelter Look-up'!$F$4,$V258-4,0)))</f>
        <v/>
      </c>
      <c r="H258" s="176" t="str">
        <f ca="1">IF(ISERROR($V258),"",OFFSET('Smelter Look-up'!$G$4,$V258-4,0))</f>
        <v/>
      </c>
      <c r="I258" s="177" t="str">
        <f ca="1">IF(ISERROR($V258),"",OFFSET('Smelter Look-up'!$H$4,$V258-4,0))</f>
        <v/>
      </c>
      <c r="J258" s="177" t="str">
        <f ca="1">IF(ISERROR($V258),"",OFFSET('Smelter Look-up'!$I$4,$V258-4,0))</f>
        <v/>
      </c>
      <c r="K258" s="216"/>
      <c r="L258" s="216"/>
      <c r="M258" s="216"/>
      <c r="N258" s="216"/>
      <c r="O258" s="216"/>
      <c r="P258" s="178"/>
      <c r="Q258" s="217"/>
      <c r="R258" s="175" t="str">
        <f ca="1">IF(ISERROR($V258),"",OFFSET('Smelter Look-up'!$C$4,$V258-4,0)&amp;"")</f>
        <v/>
      </c>
      <c r="S258" s="174" t="str">
        <f t="shared" ca="1" si="33"/>
        <v/>
      </c>
      <c r="T258" s="174" t="str">
        <f ca="1">IF(B258="","",IF(ISERROR(MATCH($J258,SorP!$B$1:$B$6279,0)),"",INDIRECT("'SorP'!$A$"&amp;MATCH($S258&amp;$J258,SorP!C:C,0))))</f>
        <v/>
      </c>
      <c r="U258" s="194"/>
      <c r="V258" s="218" t="e">
        <f>IF(C258="",NA(),IF(OR(C258="Smelter not listed",C258="Smelter not yet identified"),MATCH($B258&amp;$D258,'Smelter Look-up'!$J:$J,0),MATCH($B258&amp;$C258,'Smelter Look-up'!$J:$J,0)))</f>
        <v>#N/A</v>
      </c>
      <c r="X258" s="219">
        <f t="shared" ca="1" si="34"/>
        <v>0</v>
      </c>
      <c r="AB258" s="220" t="str">
        <f t="shared" si="35"/>
        <v/>
      </c>
    </row>
    <row r="259" spans="1:28" s="219" customFormat="1" ht="20.25">
      <c r="A259" s="174"/>
      <c r="B259" s="175" t="str">
        <f>IF(LEN(A259)=0,"",INDEX('Smelter Look-up'!$A:$A,MATCH($A259,'Smelter Look-up'!$E:$E,0)))</f>
        <v/>
      </c>
      <c r="C259" s="179" t="str">
        <f>IF(LEN(A259)=0,"",INDEX('Smelter Look-up'!$C:$C,MATCH($A259,'Smelter Look-up'!$E:$E,0)))</f>
        <v/>
      </c>
      <c r="D259" s="222"/>
      <c r="E259" s="175" t="str">
        <f ca="1">IF(ISERROR($V259),"",OFFSET('Smelter Look-up'!$D$4,$V259-4,0)&amp;"")</f>
        <v/>
      </c>
      <c r="F259" s="175" t="str">
        <f ca="1">IF(ISERROR($V259),"",OFFSET('Smelter Look-up'!$E$4,$V259-4,0))</f>
        <v/>
      </c>
      <c r="G259" s="175" t="str">
        <f ca="1">IF(C259=$X$4,IF(ISERROR($V259),"Enter smelter details","RMI"),IF(ISERROR($V259),"",OFFSET('Smelter Look-up'!$F$4,$V259-4,0)))</f>
        <v/>
      </c>
      <c r="H259" s="176" t="str">
        <f ca="1">IF(ISERROR($V259),"",OFFSET('Smelter Look-up'!$G$4,$V259-4,0))</f>
        <v/>
      </c>
      <c r="I259" s="177" t="str">
        <f ca="1">IF(ISERROR($V259),"",OFFSET('Smelter Look-up'!$H$4,$V259-4,0))</f>
        <v/>
      </c>
      <c r="J259" s="177" t="str">
        <f ca="1">IF(ISERROR($V259),"",OFFSET('Smelter Look-up'!$I$4,$V259-4,0))</f>
        <v/>
      </c>
      <c r="K259" s="216"/>
      <c r="L259" s="216"/>
      <c r="M259" s="216"/>
      <c r="N259" s="216"/>
      <c r="O259" s="216"/>
      <c r="P259" s="178"/>
      <c r="Q259" s="217"/>
      <c r="R259" s="175" t="str">
        <f ca="1">IF(ISERROR($V259),"",OFFSET('Smelter Look-up'!$C$4,$V259-4,0)&amp;"")</f>
        <v/>
      </c>
      <c r="S259" s="174" t="str">
        <f t="shared" ca="1" si="33"/>
        <v/>
      </c>
      <c r="T259" s="174" t="str">
        <f ca="1">IF(B259="","",IF(ISERROR(MATCH($J259,SorP!$B$1:$B$6279,0)),"",INDIRECT("'SorP'!$A$"&amp;MATCH($S259&amp;$J259,SorP!C:C,0))))</f>
        <v/>
      </c>
      <c r="U259" s="194"/>
      <c r="V259" s="218" t="e">
        <f>IF(C259="",NA(),IF(OR(C259="Smelter not listed",C259="Smelter not yet identified"),MATCH($B259&amp;$D259,'Smelter Look-up'!$J:$J,0),MATCH($B259&amp;$C259,'Smelter Look-up'!$J:$J,0)))</f>
        <v>#N/A</v>
      </c>
      <c r="X259" s="219">
        <f t="shared" ca="1" si="34"/>
        <v>0</v>
      </c>
      <c r="AB259" s="220" t="str">
        <f t="shared" si="35"/>
        <v/>
      </c>
    </row>
    <row r="260" spans="1:28" s="219" customFormat="1" ht="20.25">
      <c r="A260" s="174"/>
      <c r="B260" s="175" t="str">
        <f>IF(LEN(A260)=0,"",INDEX('Smelter Look-up'!$A:$A,MATCH($A260,'Smelter Look-up'!$E:$E,0)))</f>
        <v/>
      </c>
      <c r="C260" s="179" t="str">
        <f>IF(LEN(A260)=0,"",INDEX('Smelter Look-up'!$C:$C,MATCH($A260,'Smelter Look-up'!$E:$E,0)))</f>
        <v/>
      </c>
      <c r="D260" s="222"/>
      <c r="E260" s="175" t="str">
        <f ca="1">IF(ISERROR($V260),"",OFFSET('Smelter Look-up'!$D$4,$V260-4,0)&amp;"")</f>
        <v/>
      </c>
      <c r="F260" s="175" t="str">
        <f ca="1">IF(ISERROR($V260),"",OFFSET('Smelter Look-up'!$E$4,$V260-4,0))</f>
        <v/>
      </c>
      <c r="G260" s="175" t="str">
        <f ca="1">IF(C260=$X$4,IF(ISERROR($V260),"Enter smelter details","RMI"),IF(ISERROR($V260),"",OFFSET('Smelter Look-up'!$F$4,$V260-4,0)))</f>
        <v/>
      </c>
      <c r="H260" s="176" t="str">
        <f ca="1">IF(ISERROR($V260),"",OFFSET('Smelter Look-up'!$G$4,$V260-4,0))</f>
        <v/>
      </c>
      <c r="I260" s="177" t="str">
        <f ca="1">IF(ISERROR($V260),"",OFFSET('Smelter Look-up'!$H$4,$V260-4,0))</f>
        <v/>
      </c>
      <c r="J260" s="177" t="str">
        <f ca="1">IF(ISERROR($V260),"",OFFSET('Smelter Look-up'!$I$4,$V260-4,0))</f>
        <v/>
      </c>
      <c r="K260" s="216"/>
      <c r="L260" s="216"/>
      <c r="M260" s="216"/>
      <c r="N260" s="216"/>
      <c r="O260" s="216"/>
      <c r="P260" s="178"/>
      <c r="Q260" s="217"/>
      <c r="R260" s="175" t="str">
        <f ca="1">IF(ISERROR($V260),"",OFFSET('Smelter Look-up'!$C$4,$V260-4,0)&amp;"")</f>
        <v/>
      </c>
      <c r="S260" s="174" t="str">
        <f t="shared" ca="1" si="33"/>
        <v/>
      </c>
      <c r="T260" s="174" t="str">
        <f ca="1">IF(B260="","",IF(ISERROR(MATCH($J260,SorP!$B$1:$B$6279,0)),"",INDIRECT("'SorP'!$A$"&amp;MATCH($S260&amp;$J260,SorP!C:C,0))))</f>
        <v/>
      </c>
      <c r="U260" s="194"/>
      <c r="V260" s="218" t="e">
        <f>IF(C260="",NA(),IF(OR(C260="Smelter not listed",C260="Smelter not yet identified"),MATCH($B260&amp;$D260,'Smelter Look-up'!$J:$J,0),MATCH($B260&amp;$C260,'Smelter Look-up'!$J:$J,0)))</f>
        <v>#N/A</v>
      </c>
      <c r="X260" s="219">
        <f t="shared" ca="1" si="34"/>
        <v>0</v>
      </c>
      <c r="AB260" s="220" t="str">
        <f t="shared" si="35"/>
        <v/>
      </c>
    </row>
    <row r="261" spans="1:28" s="219" customFormat="1" ht="20.25">
      <c r="A261" s="174"/>
      <c r="B261" s="175" t="str">
        <f>IF(LEN(A261)=0,"",INDEX('Smelter Look-up'!$A:$A,MATCH($A261,'Smelter Look-up'!$E:$E,0)))</f>
        <v/>
      </c>
      <c r="C261" s="179" t="str">
        <f>IF(LEN(A261)=0,"",INDEX('Smelter Look-up'!$C:$C,MATCH($A261,'Smelter Look-up'!$E:$E,0)))</f>
        <v/>
      </c>
      <c r="D261" s="222"/>
      <c r="E261" s="175" t="str">
        <f ca="1">IF(ISERROR($V261),"",OFFSET('Smelter Look-up'!$D$4,$V261-4,0)&amp;"")</f>
        <v/>
      </c>
      <c r="F261" s="175" t="str">
        <f ca="1">IF(ISERROR($V261),"",OFFSET('Smelter Look-up'!$E$4,$V261-4,0))</f>
        <v/>
      </c>
      <c r="G261" s="175" t="str">
        <f ca="1">IF(C261=$X$4,IF(ISERROR($V261),"Enter smelter details","RMI"),IF(ISERROR($V261),"",OFFSET('Smelter Look-up'!$F$4,$V261-4,0)))</f>
        <v/>
      </c>
      <c r="H261" s="176" t="str">
        <f ca="1">IF(ISERROR($V261),"",OFFSET('Smelter Look-up'!$G$4,$V261-4,0))</f>
        <v/>
      </c>
      <c r="I261" s="177" t="str">
        <f ca="1">IF(ISERROR($V261),"",OFFSET('Smelter Look-up'!$H$4,$V261-4,0))</f>
        <v/>
      </c>
      <c r="J261" s="177" t="str">
        <f ca="1">IF(ISERROR($V261),"",OFFSET('Smelter Look-up'!$I$4,$V261-4,0))</f>
        <v/>
      </c>
      <c r="K261" s="216"/>
      <c r="L261" s="216"/>
      <c r="M261" s="216"/>
      <c r="N261" s="216"/>
      <c r="O261" s="216"/>
      <c r="P261" s="178"/>
      <c r="Q261" s="217"/>
      <c r="R261" s="175" t="str">
        <f ca="1">IF(ISERROR($V261),"",OFFSET('Smelter Look-up'!$C$4,$V261-4,0)&amp;"")</f>
        <v/>
      </c>
      <c r="S261" s="174" t="str">
        <f t="shared" ref="S261" ca="1" si="36">IF(B261="","",IF(ISERROR(MATCH($E261,CL,0)),"Unknown",INDIRECT("'C'!$A$"&amp;MATCH($E261,CL,0)+1)))</f>
        <v/>
      </c>
      <c r="T261" s="174" t="str">
        <f ca="1">IF(B261="","",IF(ISERROR(MATCH($J261,SorP!$B$1:$B$6279,0)),"",INDIRECT("'SorP'!$A$"&amp;MATCH($S261&amp;$J261,SorP!C:C,0))))</f>
        <v/>
      </c>
      <c r="U261" s="194"/>
      <c r="V261" s="218" t="e">
        <f>IF(C261="",NA(),IF(OR(C261="Smelter not listed",C261="Smelter not yet identified"),MATCH($B261&amp;$D261,'Smelter Look-up'!$J:$J,0),MATCH($B261&amp;$C261,'Smelter Look-up'!$J:$J,0)))</f>
        <v>#N/A</v>
      </c>
      <c r="X261" s="219">
        <f t="shared" ref="X261" ca="1" si="37">IF(AND(C261="Smelter not listed",OR(LEN(D261)=0,LEN(E261)=0)),1,0)</f>
        <v>0</v>
      </c>
      <c r="AB261" s="220" t="str">
        <f t="shared" ref="AB261" si="38">B261&amp;C261</f>
        <v/>
      </c>
    </row>
    <row r="262" spans="1:28" s="219" customFormat="1" ht="20.25">
      <c r="A262" s="174"/>
      <c r="B262" s="175" t="str">
        <f>IF(LEN(A262)=0,"",INDEX('Smelter Look-up'!$A:$A,MATCH($A262,'Smelter Look-up'!$E:$E,0)))</f>
        <v/>
      </c>
      <c r="C262" s="179" t="str">
        <f>IF(LEN(A262)=0,"",INDEX('Smelter Look-up'!$C:$C,MATCH($A262,'Smelter Look-up'!$E:$E,0)))</f>
        <v/>
      </c>
      <c r="D262" s="222"/>
      <c r="E262" s="175" t="str">
        <f ca="1">IF(ISERROR($V262),"",OFFSET('Smelter Look-up'!$D$4,$V262-4,0)&amp;"")</f>
        <v/>
      </c>
      <c r="F262" s="175" t="str">
        <f ca="1">IF(ISERROR($V262),"",OFFSET('Smelter Look-up'!$E$4,$V262-4,0))</f>
        <v/>
      </c>
      <c r="G262" s="175" t="str">
        <f ca="1">IF(C262=$X$4,IF(ISERROR($V262),"Enter smelter details","RMI"),IF(ISERROR($V262),"",OFFSET('Smelter Look-up'!$F$4,$V262-4,0)))</f>
        <v/>
      </c>
      <c r="H262" s="176" t="str">
        <f ca="1">IF(ISERROR($V262),"",OFFSET('Smelter Look-up'!$G$4,$V262-4,0))</f>
        <v/>
      </c>
      <c r="I262" s="177" t="str">
        <f ca="1">IF(ISERROR($V262),"",OFFSET('Smelter Look-up'!$H$4,$V262-4,0))</f>
        <v/>
      </c>
      <c r="J262" s="177" t="str">
        <f ca="1">IF(ISERROR($V262),"",OFFSET('Smelter Look-up'!$I$4,$V262-4,0))</f>
        <v/>
      </c>
      <c r="K262" s="216"/>
      <c r="L262" s="216"/>
      <c r="M262" s="216"/>
      <c r="N262" s="216"/>
      <c r="O262" s="216"/>
      <c r="P262" s="178"/>
      <c r="Q262" s="217"/>
      <c r="R262" s="175" t="str">
        <f ca="1">IF(ISERROR($V262),"",OFFSET('Smelter Look-up'!$C$4,$V262-4,0)&amp;"")</f>
        <v/>
      </c>
      <c r="S262" s="174" t="str">
        <f t="shared" ref="S262:S293" ca="1" si="39">IF(B262="","",IF(ISERROR(MATCH($E262,CL,0)),"Unknown",INDIRECT("'C'!$A$"&amp;MATCH($E262,CL,0)+1)))</f>
        <v/>
      </c>
      <c r="T262" s="174" t="str">
        <f ca="1">IF(B262="","",IF(ISERROR(MATCH($J262,SorP!$B$1:$B$6279,0)),"",INDIRECT("'SorP'!$A$"&amp;MATCH($S262&amp;$J262,SorP!C:C,0))))</f>
        <v/>
      </c>
      <c r="U262" s="194"/>
      <c r="V262" s="218" t="e">
        <f>IF(C262="",NA(),IF(OR(C262="Smelter not listed",C262="Smelter not yet identified"),MATCH($B262&amp;$D262,'Smelter Look-up'!$J:$J,0),MATCH($B262&amp;$C262,'Smelter Look-up'!$J:$J,0)))</f>
        <v>#N/A</v>
      </c>
      <c r="X262" s="219">
        <f t="shared" ref="X262:X293" ca="1" si="40">IF(AND(C262="Smelter not listed",OR(LEN(D262)=0,LEN(E262)=0)),1,0)</f>
        <v>0</v>
      </c>
      <c r="AB262" s="220" t="str">
        <f t="shared" ref="AB262:AB293" si="41">B262&amp;C262</f>
        <v/>
      </c>
    </row>
    <row r="263" spans="1:28" s="219" customFormat="1" ht="20.25">
      <c r="A263" s="174"/>
      <c r="B263" s="175" t="str">
        <f>IF(LEN(A263)=0,"",INDEX('Smelter Look-up'!$A:$A,MATCH($A263,'Smelter Look-up'!$E:$E,0)))</f>
        <v/>
      </c>
      <c r="C263" s="179" t="str">
        <f>IF(LEN(A263)=0,"",INDEX('Smelter Look-up'!$C:$C,MATCH($A263,'Smelter Look-up'!$E:$E,0)))</f>
        <v/>
      </c>
      <c r="D263" s="222"/>
      <c r="E263" s="175" t="str">
        <f ca="1">IF(ISERROR($V263),"",OFFSET('Smelter Look-up'!$D$4,$V263-4,0)&amp;"")</f>
        <v/>
      </c>
      <c r="F263" s="175" t="str">
        <f ca="1">IF(ISERROR($V263),"",OFFSET('Smelter Look-up'!$E$4,$V263-4,0))</f>
        <v/>
      </c>
      <c r="G263" s="175" t="str">
        <f ca="1">IF(C263=$X$4,IF(ISERROR($V263),"Enter smelter details","RMI"),IF(ISERROR($V263),"",OFFSET('Smelter Look-up'!$F$4,$V263-4,0)))</f>
        <v/>
      </c>
      <c r="H263" s="176" t="str">
        <f ca="1">IF(ISERROR($V263),"",OFFSET('Smelter Look-up'!$G$4,$V263-4,0))</f>
        <v/>
      </c>
      <c r="I263" s="177" t="str">
        <f ca="1">IF(ISERROR($V263),"",OFFSET('Smelter Look-up'!$H$4,$V263-4,0))</f>
        <v/>
      </c>
      <c r="J263" s="177" t="str">
        <f ca="1">IF(ISERROR($V263),"",OFFSET('Smelter Look-up'!$I$4,$V263-4,0))</f>
        <v/>
      </c>
      <c r="K263" s="216"/>
      <c r="L263" s="216"/>
      <c r="M263" s="216"/>
      <c r="N263" s="216"/>
      <c r="O263" s="216"/>
      <c r="P263" s="178"/>
      <c r="Q263" s="217"/>
      <c r="R263" s="175" t="str">
        <f ca="1">IF(ISERROR($V263),"",OFFSET('Smelter Look-up'!$C$4,$V263-4,0)&amp;"")</f>
        <v/>
      </c>
      <c r="S263" s="174" t="str">
        <f t="shared" ca="1" si="39"/>
        <v/>
      </c>
      <c r="T263" s="174" t="str">
        <f ca="1">IF(B263="","",IF(ISERROR(MATCH($J263,SorP!$B$1:$B$6279,0)),"",INDIRECT("'SorP'!$A$"&amp;MATCH($S263&amp;$J263,SorP!C:C,0))))</f>
        <v/>
      </c>
      <c r="U263" s="194"/>
      <c r="V263" s="218" t="e">
        <f>IF(C263="",NA(),IF(OR(C263="Smelter not listed",C263="Smelter not yet identified"),MATCH($B263&amp;$D263,'Smelter Look-up'!$J:$J,0),MATCH($B263&amp;$C263,'Smelter Look-up'!$J:$J,0)))</f>
        <v>#N/A</v>
      </c>
      <c r="X263" s="219">
        <f t="shared" ca="1" si="40"/>
        <v>0</v>
      </c>
      <c r="AB263" s="220" t="str">
        <f t="shared" si="41"/>
        <v/>
      </c>
    </row>
    <row r="264" spans="1:28" s="219" customFormat="1" ht="20.25">
      <c r="A264" s="174"/>
      <c r="B264" s="175" t="str">
        <f>IF(LEN(A264)=0,"",INDEX('Smelter Look-up'!$A:$A,MATCH($A264,'Smelter Look-up'!$E:$E,0)))</f>
        <v/>
      </c>
      <c r="C264" s="179" t="str">
        <f>IF(LEN(A264)=0,"",INDEX('Smelter Look-up'!$C:$C,MATCH($A264,'Smelter Look-up'!$E:$E,0)))</f>
        <v/>
      </c>
      <c r="D264" s="222"/>
      <c r="E264" s="175" t="str">
        <f ca="1">IF(ISERROR($V264),"",OFFSET('Smelter Look-up'!$D$4,$V264-4,0)&amp;"")</f>
        <v/>
      </c>
      <c r="F264" s="175" t="str">
        <f ca="1">IF(ISERROR($V264),"",OFFSET('Smelter Look-up'!$E$4,$V264-4,0))</f>
        <v/>
      </c>
      <c r="G264" s="175" t="str">
        <f ca="1">IF(C264=$X$4,IF(ISERROR($V264),"Enter smelter details","RMI"),IF(ISERROR($V264),"",OFFSET('Smelter Look-up'!$F$4,$V264-4,0)))</f>
        <v/>
      </c>
      <c r="H264" s="176" t="str">
        <f ca="1">IF(ISERROR($V264),"",OFFSET('Smelter Look-up'!$G$4,$V264-4,0))</f>
        <v/>
      </c>
      <c r="I264" s="177" t="str">
        <f ca="1">IF(ISERROR($V264),"",OFFSET('Smelter Look-up'!$H$4,$V264-4,0))</f>
        <v/>
      </c>
      <c r="J264" s="177" t="str">
        <f ca="1">IF(ISERROR($V264),"",OFFSET('Smelter Look-up'!$I$4,$V264-4,0))</f>
        <v/>
      </c>
      <c r="K264" s="216"/>
      <c r="L264" s="216"/>
      <c r="M264" s="216"/>
      <c r="N264" s="216"/>
      <c r="O264" s="216"/>
      <c r="P264" s="178"/>
      <c r="Q264" s="217"/>
      <c r="R264" s="175" t="str">
        <f ca="1">IF(ISERROR($V264),"",OFFSET('Smelter Look-up'!$C$4,$V264-4,0)&amp;"")</f>
        <v/>
      </c>
      <c r="S264" s="174" t="str">
        <f t="shared" ca="1" si="39"/>
        <v/>
      </c>
      <c r="T264" s="174" t="str">
        <f ca="1">IF(B264="","",IF(ISERROR(MATCH($J264,SorP!$B$1:$B$6279,0)),"",INDIRECT("'SorP'!$A$"&amp;MATCH($S264&amp;$J264,SorP!C:C,0))))</f>
        <v/>
      </c>
      <c r="U264" s="194"/>
      <c r="V264" s="218" t="e">
        <f>IF(C264="",NA(),IF(OR(C264="Smelter not listed",C264="Smelter not yet identified"),MATCH($B264&amp;$D264,'Smelter Look-up'!$J:$J,0),MATCH($B264&amp;$C264,'Smelter Look-up'!$J:$J,0)))</f>
        <v>#N/A</v>
      </c>
      <c r="X264" s="219">
        <f t="shared" ca="1" si="40"/>
        <v>0</v>
      </c>
      <c r="AB264" s="220" t="str">
        <f t="shared" si="41"/>
        <v/>
      </c>
    </row>
    <row r="265" spans="1:28" s="219" customFormat="1" ht="20.25">
      <c r="A265" s="174"/>
      <c r="B265" s="175" t="str">
        <f>IF(LEN(A265)=0,"",INDEX('Smelter Look-up'!$A:$A,MATCH($A265,'Smelter Look-up'!$E:$E,0)))</f>
        <v/>
      </c>
      <c r="C265" s="179" t="str">
        <f>IF(LEN(A265)=0,"",INDEX('Smelter Look-up'!$C:$C,MATCH($A265,'Smelter Look-up'!$E:$E,0)))</f>
        <v/>
      </c>
      <c r="D265" s="222"/>
      <c r="E265" s="175" t="str">
        <f ca="1">IF(ISERROR($V265),"",OFFSET('Smelter Look-up'!$D$4,$V265-4,0)&amp;"")</f>
        <v/>
      </c>
      <c r="F265" s="175" t="str">
        <f ca="1">IF(ISERROR($V265),"",OFFSET('Smelter Look-up'!$E$4,$V265-4,0))</f>
        <v/>
      </c>
      <c r="G265" s="175" t="str">
        <f ca="1">IF(C265=$X$4,IF(ISERROR($V265),"Enter smelter details","RMI"),IF(ISERROR($V265),"",OFFSET('Smelter Look-up'!$F$4,$V265-4,0)))</f>
        <v/>
      </c>
      <c r="H265" s="176" t="str">
        <f ca="1">IF(ISERROR($V265),"",OFFSET('Smelter Look-up'!$G$4,$V265-4,0))</f>
        <v/>
      </c>
      <c r="I265" s="177" t="str">
        <f ca="1">IF(ISERROR($V265),"",OFFSET('Smelter Look-up'!$H$4,$V265-4,0))</f>
        <v/>
      </c>
      <c r="J265" s="177" t="str">
        <f ca="1">IF(ISERROR($V265),"",OFFSET('Smelter Look-up'!$I$4,$V265-4,0))</f>
        <v/>
      </c>
      <c r="K265" s="216"/>
      <c r="L265" s="216"/>
      <c r="M265" s="216"/>
      <c r="N265" s="216"/>
      <c r="O265" s="216"/>
      <c r="P265" s="178"/>
      <c r="Q265" s="217"/>
      <c r="R265" s="175" t="str">
        <f ca="1">IF(ISERROR($V265),"",OFFSET('Smelter Look-up'!$C$4,$V265-4,0)&amp;"")</f>
        <v/>
      </c>
      <c r="S265" s="174" t="str">
        <f t="shared" ca="1" si="39"/>
        <v/>
      </c>
      <c r="T265" s="174" t="str">
        <f ca="1">IF(B265="","",IF(ISERROR(MATCH($J265,SorP!$B$1:$B$6279,0)),"",INDIRECT("'SorP'!$A$"&amp;MATCH($S265&amp;$J265,SorP!C:C,0))))</f>
        <v/>
      </c>
      <c r="U265" s="194"/>
      <c r="V265" s="218" t="e">
        <f>IF(C265="",NA(),IF(OR(C265="Smelter not listed",C265="Smelter not yet identified"),MATCH($B265&amp;$D265,'Smelter Look-up'!$J:$J,0),MATCH($B265&amp;$C265,'Smelter Look-up'!$J:$J,0)))</f>
        <v>#N/A</v>
      </c>
      <c r="X265" s="219">
        <f t="shared" ca="1" si="40"/>
        <v>0</v>
      </c>
      <c r="AB265" s="220" t="str">
        <f t="shared" si="41"/>
        <v/>
      </c>
    </row>
    <row r="266" spans="1:28" s="219" customFormat="1" ht="20.25">
      <c r="A266" s="174"/>
      <c r="B266" s="175" t="str">
        <f>IF(LEN(A266)=0,"",INDEX('Smelter Look-up'!$A:$A,MATCH($A266,'Smelter Look-up'!$E:$E,0)))</f>
        <v/>
      </c>
      <c r="C266" s="179" t="str">
        <f>IF(LEN(A266)=0,"",INDEX('Smelter Look-up'!$C:$C,MATCH($A266,'Smelter Look-up'!$E:$E,0)))</f>
        <v/>
      </c>
      <c r="D266" s="222"/>
      <c r="E266" s="175" t="str">
        <f ca="1">IF(ISERROR($V266),"",OFFSET('Smelter Look-up'!$D$4,$V266-4,0)&amp;"")</f>
        <v/>
      </c>
      <c r="F266" s="175" t="str">
        <f ca="1">IF(ISERROR($V266),"",OFFSET('Smelter Look-up'!$E$4,$V266-4,0))</f>
        <v/>
      </c>
      <c r="G266" s="175" t="str">
        <f ca="1">IF(C266=$X$4,IF(ISERROR($V266),"Enter smelter details","RMI"),IF(ISERROR($V266),"",OFFSET('Smelter Look-up'!$F$4,$V266-4,0)))</f>
        <v/>
      </c>
      <c r="H266" s="176" t="str">
        <f ca="1">IF(ISERROR($V266),"",OFFSET('Smelter Look-up'!$G$4,$V266-4,0))</f>
        <v/>
      </c>
      <c r="I266" s="177" t="str">
        <f ca="1">IF(ISERROR($V266),"",OFFSET('Smelter Look-up'!$H$4,$V266-4,0))</f>
        <v/>
      </c>
      <c r="J266" s="177" t="str">
        <f ca="1">IF(ISERROR($V266),"",OFFSET('Smelter Look-up'!$I$4,$V266-4,0))</f>
        <v/>
      </c>
      <c r="K266" s="216"/>
      <c r="L266" s="216"/>
      <c r="M266" s="216"/>
      <c r="N266" s="216"/>
      <c r="O266" s="216"/>
      <c r="P266" s="178"/>
      <c r="Q266" s="217"/>
      <c r="R266" s="175" t="str">
        <f ca="1">IF(ISERROR($V266),"",OFFSET('Smelter Look-up'!$C$4,$V266-4,0)&amp;"")</f>
        <v/>
      </c>
      <c r="S266" s="174" t="str">
        <f t="shared" ca="1" si="39"/>
        <v/>
      </c>
      <c r="T266" s="174" t="str">
        <f ca="1">IF(B266="","",IF(ISERROR(MATCH($J266,SorP!$B$1:$B$6279,0)),"",INDIRECT("'SorP'!$A$"&amp;MATCH($S266&amp;$J266,SorP!C:C,0))))</f>
        <v/>
      </c>
      <c r="U266" s="194"/>
      <c r="V266" s="218" t="e">
        <f>IF(C266="",NA(),IF(OR(C266="Smelter not listed",C266="Smelter not yet identified"),MATCH($B266&amp;$D266,'Smelter Look-up'!$J:$J,0),MATCH($B266&amp;$C266,'Smelter Look-up'!$J:$J,0)))</f>
        <v>#N/A</v>
      </c>
      <c r="X266" s="219">
        <f t="shared" ca="1" si="40"/>
        <v>0</v>
      </c>
      <c r="AB266" s="220" t="str">
        <f t="shared" si="41"/>
        <v/>
      </c>
    </row>
    <row r="267" spans="1:28" s="219" customFormat="1" ht="20.25">
      <c r="A267" s="174"/>
      <c r="B267" s="175" t="str">
        <f>IF(LEN(A267)=0,"",INDEX('Smelter Look-up'!$A:$A,MATCH($A267,'Smelter Look-up'!$E:$E,0)))</f>
        <v/>
      </c>
      <c r="C267" s="179" t="str">
        <f>IF(LEN(A267)=0,"",INDEX('Smelter Look-up'!$C:$C,MATCH($A267,'Smelter Look-up'!$E:$E,0)))</f>
        <v/>
      </c>
      <c r="D267" s="222"/>
      <c r="E267" s="175" t="str">
        <f ca="1">IF(ISERROR($V267),"",OFFSET('Smelter Look-up'!$D$4,$V267-4,0)&amp;"")</f>
        <v/>
      </c>
      <c r="F267" s="175" t="str">
        <f ca="1">IF(ISERROR($V267),"",OFFSET('Smelter Look-up'!$E$4,$V267-4,0))</f>
        <v/>
      </c>
      <c r="G267" s="175" t="str">
        <f ca="1">IF(C267=$X$4,IF(ISERROR($V267),"Enter smelter details","RMI"),IF(ISERROR($V267),"",OFFSET('Smelter Look-up'!$F$4,$V267-4,0)))</f>
        <v/>
      </c>
      <c r="H267" s="176" t="str">
        <f ca="1">IF(ISERROR($V267),"",OFFSET('Smelter Look-up'!$G$4,$V267-4,0))</f>
        <v/>
      </c>
      <c r="I267" s="177" t="str">
        <f ca="1">IF(ISERROR($V267),"",OFFSET('Smelter Look-up'!$H$4,$V267-4,0))</f>
        <v/>
      </c>
      <c r="J267" s="177" t="str">
        <f ca="1">IF(ISERROR($V267),"",OFFSET('Smelter Look-up'!$I$4,$V267-4,0))</f>
        <v/>
      </c>
      <c r="K267" s="216"/>
      <c r="L267" s="216"/>
      <c r="M267" s="216"/>
      <c r="N267" s="216"/>
      <c r="O267" s="216"/>
      <c r="P267" s="178"/>
      <c r="Q267" s="217"/>
      <c r="R267" s="175" t="str">
        <f ca="1">IF(ISERROR($V267),"",OFFSET('Smelter Look-up'!$C$4,$V267-4,0)&amp;"")</f>
        <v/>
      </c>
      <c r="S267" s="174" t="str">
        <f t="shared" ca="1" si="39"/>
        <v/>
      </c>
      <c r="T267" s="174" t="str">
        <f ca="1">IF(B267="","",IF(ISERROR(MATCH($J267,SorP!$B$1:$B$6279,0)),"",INDIRECT("'SorP'!$A$"&amp;MATCH($S267&amp;$J267,SorP!C:C,0))))</f>
        <v/>
      </c>
      <c r="U267" s="194"/>
      <c r="V267" s="218" t="e">
        <f>IF(C267="",NA(),IF(OR(C267="Smelter not listed",C267="Smelter not yet identified"),MATCH($B267&amp;$D267,'Smelter Look-up'!$J:$J,0),MATCH($B267&amp;$C267,'Smelter Look-up'!$J:$J,0)))</f>
        <v>#N/A</v>
      </c>
      <c r="X267" s="219">
        <f t="shared" ca="1" si="40"/>
        <v>0</v>
      </c>
      <c r="AB267" s="220" t="str">
        <f t="shared" si="41"/>
        <v/>
      </c>
    </row>
    <row r="268" spans="1:28" s="219" customFormat="1" ht="20.25">
      <c r="A268" s="174"/>
      <c r="B268" s="175" t="str">
        <f>IF(LEN(A268)=0,"",INDEX('Smelter Look-up'!$A:$A,MATCH($A268,'Smelter Look-up'!$E:$E,0)))</f>
        <v/>
      </c>
      <c r="C268" s="179" t="str">
        <f>IF(LEN(A268)=0,"",INDEX('Smelter Look-up'!$C:$C,MATCH($A268,'Smelter Look-up'!$E:$E,0)))</f>
        <v/>
      </c>
      <c r="D268" s="222"/>
      <c r="E268" s="175" t="str">
        <f ca="1">IF(ISERROR($V268),"",OFFSET('Smelter Look-up'!$D$4,$V268-4,0)&amp;"")</f>
        <v/>
      </c>
      <c r="F268" s="175" t="str">
        <f ca="1">IF(ISERROR($V268),"",OFFSET('Smelter Look-up'!$E$4,$V268-4,0))</f>
        <v/>
      </c>
      <c r="G268" s="175" t="str">
        <f ca="1">IF(C268=$X$4,IF(ISERROR($V268),"Enter smelter details","RMI"),IF(ISERROR($V268),"",OFFSET('Smelter Look-up'!$F$4,$V268-4,0)))</f>
        <v/>
      </c>
      <c r="H268" s="176" t="str">
        <f ca="1">IF(ISERROR($V268),"",OFFSET('Smelter Look-up'!$G$4,$V268-4,0))</f>
        <v/>
      </c>
      <c r="I268" s="177" t="str">
        <f ca="1">IF(ISERROR($V268),"",OFFSET('Smelter Look-up'!$H$4,$V268-4,0))</f>
        <v/>
      </c>
      <c r="J268" s="177" t="str">
        <f ca="1">IF(ISERROR($V268),"",OFFSET('Smelter Look-up'!$I$4,$V268-4,0))</f>
        <v/>
      </c>
      <c r="K268" s="216"/>
      <c r="L268" s="216"/>
      <c r="M268" s="216"/>
      <c r="N268" s="216"/>
      <c r="O268" s="216"/>
      <c r="P268" s="178"/>
      <c r="Q268" s="217"/>
      <c r="R268" s="175" t="str">
        <f ca="1">IF(ISERROR($V268),"",OFFSET('Smelter Look-up'!$C$4,$V268-4,0)&amp;"")</f>
        <v/>
      </c>
      <c r="S268" s="174" t="str">
        <f t="shared" ca="1" si="39"/>
        <v/>
      </c>
      <c r="T268" s="174" t="str">
        <f ca="1">IF(B268="","",IF(ISERROR(MATCH($J268,SorP!$B$1:$B$6279,0)),"",INDIRECT("'SorP'!$A$"&amp;MATCH($S268&amp;$J268,SorP!C:C,0))))</f>
        <v/>
      </c>
      <c r="U268" s="194"/>
      <c r="V268" s="218" t="e">
        <f>IF(C268="",NA(),IF(OR(C268="Smelter not listed",C268="Smelter not yet identified"),MATCH($B268&amp;$D268,'Smelter Look-up'!$J:$J,0),MATCH($B268&amp;$C268,'Smelter Look-up'!$J:$J,0)))</f>
        <v>#N/A</v>
      </c>
      <c r="X268" s="219">
        <f t="shared" ca="1" si="40"/>
        <v>0</v>
      </c>
      <c r="AB268" s="220" t="str">
        <f t="shared" si="41"/>
        <v/>
      </c>
    </row>
    <row r="269" spans="1:28" s="219" customFormat="1" ht="20.25">
      <c r="A269" s="174"/>
      <c r="B269" s="175" t="str">
        <f>IF(LEN(A269)=0,"",INDEX('Smelter Look-up'!$A:$A,MATCH($A269,'Smelter Look-up'!$E:$E,0)))</f>
        <v/>
      </c>
      <c r="C269" s="179" t="str">
        <f>IF(LEN(A269)=0,"",INDEX('Smelter Look-up'!$C:$C,MATCH($A269,'Smelter Look-up'!$E:$E,0)))</f>
        <v/>
      </c>
      <c r="D269" s="222"/>
      <c r="E269" s="175" t="str">
        <f ca="1">IF(ISERROR($V269),"",OFFSET('Smelter Look-up'!$D$4,$V269-4,0)&amp;"")</f>
        <v/>
      </c>
      <c r="F269" s="175" t="str">
        <f ca="1">IF(ISERROR($V269),"",OFFSET('Smelter Look-up'!$E$4,$V269-4,0))</f>
        <v/>
      </c>
      <c r="G269" s="175" t="str">
        <f ca="1">IF(C269=$X$4,IF(ISERROR($V269),"Enter smelter details","RMI"),IF(ISERROR($V269),"",OFFSET('Smelter Look-up'!$F$4,$V269-4,0)))</f>
        <v/>
      </c>
      <c r="H269" s="176" t="str">
        <f ca="1">IF(ISERROR($V269),"",OFFSET('Smelter Look-up'!$G$4,$V269-4,0))</f>
        <v/>
      </c>
      <c r="I269" s="177" t="str">
        <f ca="1">IF(ISERROR($V269),"",OFFSET('Smelter Look-up'!$H$4,$V269-4,0))</f>
        <v/>
      </c>
      <c r="J269" s="177" t="str">
        <f ca="1">IF(ISERROR($V269),"",OFFSET('Smelter Look-up'!$I$4,$V269-4,0))</f>
        <v/>
      </c>
      <c r="K269" s="216"/>
      <c r="L269" s="216"/>
      <c r="M269" s="216"/>
      <c r="N269" s="216"/>
      <c r="O269" s="216"/>
      <c r="P269" s="178"/>
      <c r="Q269" s="217"/>
      <c r="R269" s="175" t="str">
        <f ca="1">IF(ISERROR($V269),"",OFFSET('Smelter Look-up'!$C$4,$V269-4,0)&amp;"")</f>
        <v/>
      </c>
      <c r="S269" s="174" t="str">
        <f t="shared" ca="1" si="39"/>
        <v/>
      </c>
      <c r="T269" s="174" t="str">
        <f ca="1">IF(B269="","",IF(ISERROR(MATCH($J269,SorP!$B$1:$B$6279,0)),"",INDIRECT("'SorP'!$A$"&amp;MATCH($S269&amp;$J269,SorP!C:C,0))))</f>
        <v/>
      </c>
      <c r="U269" s="194"/>
      <c r="V269" s="218" t="e">
        <f>IF(C269="",NA(),IF(OR(C269="Smelter not listed",C269="Smelter not yet identified"),MATCH($B269&amp;$D269,'Smelter Look-up'!$J:$J,0),MATCH($B269&amp;$C269,'Smelter Look-up'!$J:$J,0)))</f>
        <v>#N/A</v>
      </c>
      <c r="X269" s="219">
        <f t="shared" ca="1" si="40"/>
        <v>0</v>
      </c>
      <c r="AB269" s="220" t="str">
        <f t="shared" si="41"/>
        <v/>
      </c>
    </row>
    <row r="270" spans="1:28" s="219" customFormat="1" ht="20.25">
      <c r="A270" s="174"/>
      <c r="B270" s="175" t="str">
        <f>IF(LEN(A270)=0,"",INDEX('Smelter Look-up'!$A:$A,MATCH($A270,'Smelter Look-up'!$E:$E,0)))</f>
        <v/>
      </c>
      <c r="C270" s="179" t="str">
        <f>IF(LEN(A270)=0,"",INDEX('Smelter Look-up'!$C:$C,MATCH($A270,'Smelter Look-up'!$E:$E,0)))</f>
        <v/>
      </c>
      <c r="D270" s="222"/>
      <c r="E270" s="175" t="str">
        <f ca="1">IF(ISERROR($V270),"",OFFSET('Smelter Look-up'!$D$4,$V270-4,0)&amp;"")</f>
        <v/>
      </c>
      <c r="F270" s="175" t="str">
        <f ca="1">IF(ISERROR($V270),"",OFFSET('Smelter Look-up'!$E$4,$V270-4,0))</f>
        <v/>
      </c>
      <c r="G270" s="175" t="str">
        <f ca="1">IF(C270=$X$4,IF(ISERROR($V270),"Enter smelter details","RMI"),IF(ISERROR($V270),"",OFFSET('Smelter Look-up'!$F$4,$V270-4,0)))</f>
        <v/>
      </c>
      <c r="H270" s="176" t="str">
        <f ca="1">IF(ISERROR($V270),"",OFFSET('Smelter Look-up'!$G$4,$V270-4,0))</f>
        <v/>
      </c>
      <c r="I270" s="177" t="str">
        <f ca="1">IF(ISERROR($V270),"",OFFSET('Smelter Look-up'!$H$4,$V270-4,0))</f>
        <v/>
      </c>
      <c r="J270" s="177" t="str">
        <f ca="1">IF(ISERROR($V270),"",OFFSET('Smelter Look-up'!$I$4,$V270-4,0))</f>
        <v/>
      </c>
      <c r="K270" s="216"/>
      <c r="L270" s="216"/>
      <c r="M270" s="216"/>
      <c r="N270" s="216"/>
      <c r="O270" s="216"/>
      <c r="P270" s="178"/>
      <c r="Q270" s="217"/>
      <c r="R270" s="175" t="str">
        <f ca="1">IF(ISERROR($V270),"",OFFSET('Smelter Look-up'!$C$4,$V270-4,0)&amp;"")</f>
        <v/>
      </c>
      <c r="S270" s="174" t="str">
        <f t="shared" ca="1" si="39"/>
        <v/>
      </c>
      <c r="T270" s="174" t="str">
        <f ca="1">IF(B270="","",IF(ISERROR(MATCH($J270,SorP!$B$1:$B$6279,0)),"",INDIRECT("'SorP'!$A$"&amp;MATCH($S270&amp;$J270,SorP!C:C,0))))</f>
        <v/>
      </c>
      <c r="U270" s="194"/>
      <c r="V270" s="218" t="e">
        <f>IF(C270="",NA(),IF(OR(C270="Smelter not listed",C270="Smelter not yet identified"),MATCH($B270&amp;$D270,'Smelter Look-up'!$J:$J,0),MATCH($B270&amp;$C270,'Smelter Look-up'!$J:$J,0)))</f>
        <v>#N/A</v>
      </c>
      <c r="X270" s="219">
        <f t="shared" ca="1" si="40"/>
        <v>0</v>
      </c>
      <c r="AB270" s="220" t="str">
        <f t="shared" si="41"/>
        <v/>
      </c>
    </row>
    <row r="271" spans="1:28" s="219" customFormat="1" ht="20.25">
      <c r="A271" s="174"/>
      <c r="B271" s="175" t="str">
        <f>IF(LEN(A271)=0,"",INDEX('Smelter Look-up'!$A:$A,MATCH($A271,'Smelter Look-up'!$E:$E,0)))</f>
        <v/>
      </c>
      <c r="C271" s="179" t="str">
        <f>IF(LEN(A271)=0,"",INDEX('Smelter Look-up'!$C:$C,MATCH($A271,'Smelter Look-up'!$E:$E,0)))</f>
        <v/>
      </c>
      <c r="D271" s="222"/>
      <c r="E271" s="175" t="str">
        <f ca="1">IF(ISERROR($V271),"",OFFSET('Smelter Look-up'!$D$4,$V271-4,0)&amp;"")</f>
        <v/>
      </c>
      <c r="F271" s="175" t="str">
        <f ca="1">IF(ISERROR($V271),"",OFFSET('Smelter Look-up'!$E$4,$V271-4,0))</f>
        <v/>
      </c>
      <c r="G271" s="175" t="str">
        <f ca="1">IF(C271=$X$4,IF(ISERROR($V271),"Enter smelter details","RMI"),IF(ISERROR($V271),"",OFFSET('Smelter Look-up'!$F$4,$V271-4,0)))</f>
        <v/>
      </c>
      <c r="H271" s="176" t="str">
        <f ca="1">IF(ISERROR($V271),"",OFFSET('Smelter Look-up'!$G$4,$V271-4,0))</f>
        <v/>
      </c>
      <c r="I271" s="177" t="str">
        <f ca="1">IF(ISERROR($V271),"",OFFSET('Smelter Look-up'!$H$4,$V271-4,0))</f>
        <v/>
      </c>
      <c r="J271" s="177" t="str">
        <f ca="1">IF(ISERROR($V271),"",OFFSET('Smelter Look-up'!$I$4,$V271-4,0))</f>
        <v/>
      </c>
      <c r="K271" s="216"/>
      <c r="L271" s="216"/>
      <c r="M271" s="216"/>
      <c r="N271" s="216"/>
      <c r="O271" s="216"/>
      <c r="P271" s="178"/>
      <c r="Q271" s="217"/>
      <c r="R271" s="175" t="str">
        <f ca="1">IF(ISERROR($V271),"",OFFSET('Smelter Look-up'!$C$4,$V271-4,0)&amp;"")</f>
        <v/>
      </c>
      <c r="S271" s="174" t="str">
        <f t="shared" ca="1" si="39"/>
        <v/>
      </c>
      <c r="T271" s="174" t="str">
        <f ca="1">IF(B271="","",IF(ISERROR(MATCH($J271,SorP!$B$1:$B$6279,0)),"",INDIRECT("'SorP'!$A$"&amp;MATCH($S271&amp;$J271,SorP!C:C,0))))</f>
        <v/>
      </c>
      <c r="U271" s="194"/>
      <c r="V271" s="218" t="e">
        <f>IF(C271="",NA(),IF(OR(C271="Smelter not listed",C271="Smelter not yet identified"),MATCH($B271&amp;$D271,'Smelter Look-up'!$J:$J,0),MATCH($B271&amp;$C271,'Smelter Look-up'!$J:$J,0)))</f>
        <v>#N/A</v>
      </c>
      <c r="X271" s="219">
        <f t="shared" ca="1" si="40"/>
        <v>0</v>
      </c>
      <c r="AB271" s="220" t="str">
        <f t="shared" si="41"/>
        <v/>
      </c>
    </row>
    <row r="272" spans="1:28" s="219" customFormat="1" ht="20.25">
      <c r="A272" s="174"/>
      <c r="B272" s="175" t="str">
        <f>IF(LEN(A272)=0,"",INDEX('Smelter Look-up'!$A:$A,MATCH($A272,'Smelter Look-up'!$E:$E,0)))</f>
        <v/>
      </c>
      <c r="C272" s="179" t="str">
        <f>IF(LEN(A272)=0,"",INDEX('Smelter Look-up'!$C:$C,MATCH($A272,'Smelter Look-up'!$E:$E,0)))</f>
        <v/>
      </c>
      <c r="D272" s="222"/>
      <c r="E272" s="175" t="str">
        <f ca="1">IF(ISERROR($V272),"",OFFSET('Smelter Look-up'!$D$4,$V272-4,0)&amp;"")</f>
        <v/>
      </c>
      <c r="F272" s="175" t="str">
        <f ca="1">IF(ISERROR($V272),"",OFFSET('Smelter Look-up'!$E$4,$V272-4,0))</f>
        <v/>
      </c>
      <c r="G272" s="175" t="str">
        <f ca="1">IF(C272=$X$4,IF(ISERROR($V272),"Enter smelter details","RMI"),IF(ISERROR($V272),"",OFFSET('Smelter Look-up'!$F$4,$V272-4,0)))</f>
        <v/>
      </c>
      <c r="H272" s="176" t="str">
        <f ca="1">IF(ISERROR($V272),"",OFFSET('Smelter Look-up'!$G$4,$V272-4,0))</f>
        <v/>
      </c>
      <c r="I272" s="177" t="str">
        <f ca="1">IF(ISERROR($V272),"",OFFSET('Smelter Look-up'!$H$4,$V272-4,0))</f>
        <v/>
      </c>
      <c r="J272" s="177" t="str">
        <f ca="1">IF(ISERROR($V272),"",OFFSET('Smelter Look-up'!$I$4,$V272-4,0))</f>
        <v/>
      </c>
      <c r="K272" s="216"/>
      <c r="L272" s="216"/>
      <c r="M272" s="216"/>
      <c r="N272" s="216"/>
      <c r="O272" s="216"/>
      <c r="P272" s="178"/>
      <c r="Q272" s="217"/>
      <c r="R272" s="175" t="str">
        <f ca="1">IF(ISERROR($V272),"",OFFSET('Smelter Look-up'!$C$4,$V272-4,0)&amp;"")</f>
        <v/>
      </c>
      <c r="S272" s="174" t="str">
        <f t="shared" ca="1" si="39"/>
        <v/>
      </c>
      <c r="T272" s="174" t="str">
        <f ca="1">IF(B272="","",IF(ISERROR(MATCH($J272,SorP!$B$1:$B$6279,0)),"",INDIRECT("'SorP'!$A$"&amp;MATCH($S272&amp;$J272,SorP!C:C,0))))</f>
        <v/>
      </c>
      <c r="U272" s="194"/>
      <c r="V272" s="218" t="e">
        <f>IF(C272="",NA(),IF(OR(C272="Smelter not listed",C272="Smelter not yet identified"),MATCH($B272&amp;$D272,'Smelter Look-up'!$J:$J,0),MATCH($B272&amp;$C272,'Smelter Look-up'!$J:$J,0)))</f>
        <v>#N/A</v>
      </c>
      <c r="X272" s="219">
        <f t="shared" ca="1" si="40"/>
        <v>0</v>
      </c>
      <c r="AB272" s="220" t="str">
        <f t="shared" si="41"/>
        <v/>
      </c>
    </row>
    <row r="273" spans="1:28" s="219" customFormat="1" ht="20.25">
      <c r="A273" s="174"/>
      <c r="B273" s="175" t="str">
        <f>IF(LEN(A273)=0,"",INDEX('Smelter Look-up'!$A:$A,MATCH($A273,'Smelter Look-up'!$E:$E,0)))</f>
        <v/>
      </c>
      <c r="C273" s="179" t="str">
        <f>IF(LEN(A273)=0,"",INDEX('Smelter Look-up'!$C:$C,MATCH($A273,'Smelter Look-up'!$E:$E,0)))</f>
        <v/>
      </c>
      <c r="D273" s="222"/>
      <c r="E273" s="175" t="str">
        <f ca="1">IF(ISERROR($V273),"",OFFSET('Smelter Look-up'!$D$4,$V273-4,0)&amp;"")</f>
        <v/>
      </c>
      <c r="F273" s="175" t="str">
        <f ca="1">IF(ISERROR($V273),"",OFFSET('Smelter Look-up'!$E$4,$V273-4,0))</f>
        <v/>
      </c>
      <c r="G273" s="175" t="str">
        <f ca="1">IF(C273=$X$4,IF(ISERROR($V273),"Enter smelter details","RMI"),IF(ISERROR($V273),"",OFFSET('Smelter Look-up'!$F$4,$V273-4,0)))</f>
        <v/>
      </c>
      <c r="H273" s="176" t="str">
        <f ca="1">IF(ISERROR($V273),"",OFFSET('Smelter Look-up'!$G$4,$V273-4,0))</f>
        <v/>
      </c>
      <c r="I273" s="177" t="str">
        <f ca="1">IF(ISERROR($V273),"",OFFSET('Smelter Look-up'!$H$4,$V273-4,0))</f>
        <v/>
      </c>
      <c r="J273" s="177" t="str">
        <f ca="1">IF(ISERROR($V273),"",OFFSET('Smelter Look-up'!$I$4,$V273-4,0))</f>
        <v/>
      </c>
      <c r="K273" s="216"/>
      <c r="L273" s="216"/>
      <c r="M273" s="216"/>
      <c r="N273" s="216"/>
      <c r="O273" s="216"/>
      <c r="P273" s="178"/>
      <c r="Q273" s="217"/>
      <c r="R273" s="175" t="str">
        <f ca="1">IF(ISERROR($V273),"",OFFSET('Smelter Look-up'!$C$4,$V273-4,0)&amp;"")</f>
        <v/>
      </c>
      <c r="S273" s="174" t="str">
        <f t="shared" ca="1" si="39"/>
        <v/>
      </c>
      <c r="T273" s="174" t="str">
        <f ca="1">IF(B273="","",IF(ISERROR(MATCH($J273,SorP!$B$1:$B$6279,0)),"",INDIRECT("'SorP'!$A$"&amp;MATCH($S273&amp;$J273,SorP!C:C,0))))</f>
        <v/>
      </c>
      <c r="U273" s="194"/>
      <c r="V273" s="218" t="e">
        <f>IF(C273="",NA(),IF(OR(C273="Smelter not listed",C273="Smelter not yet identified"),MATCH($B273&amp;$D273,'Smelter Look-up'!$J:$J,0),MATCH($B273&amp;$C273,'Smelter Look-up'!$J:$J,0)))</f>
        <v>#N/A</v>
      </c>
      <c r="X273" s="219">
        <f t="shared" ca="1" si="40"/>
        <v>0</v>
      </c>
      <c r="AB273" s="220" t="str">
        <f t="shared" si="41"/>
        <v/>
      </c>
    </row>
    <row r="274" spans="1:28" s="219" customFormat="1" ht="20.25">
      <c r="A274" s="174"/>
      <c r="B274" s="175" t="str">
        <f>IF(LEN(A274)=0,"",INDEX('Smelter Look-up'!$A:$A,MATCH($A274,'Smelter Look-up'!$E:$E,0)))</f>
        <v/>
      </c>
      <c r="C274" s="179" t="str">
        <f>IF(LEN(A274)=0,"",INDEX('Smelter Look-up'!$C:$C,MATCH($A274,'Smelter Look-up'!$E:$E,0)))</f>
        <v/>
      </c>
      <c r="D274" s="222"/>
      <c r="E274" s="175" t="str">
        <f ca="1">IF(ISERROR($V274),"",OFFSET('Smelter Look-up'!$D$4,$V274-4,0)&amp;"")</f>
        <v/>
      </c>
      <c r="F274" s="175" t="str">
        <f ca="1">IF(ISERROR($V274),"",OFFSET('Smelter Look-up'!$E$4,$V274-4,0))</f>
        <v/>
      </c>
      <c r="G274" s="175" t="str">
        <f ca="1">IF(C274=$X$4,IF(ISERROR($V274),"Enter smelter details","RMI"),IF(ISERROR($V274),"",OFFSET('Smelter Look-up'!$F$4,$V274-4,0)))</f>
        <v/>
      </c>
      <c r="H274" s="176" t="str">
        <f ca="1">IF(ISERROR($V274),"",OFFSET('Smelter Look-up'!$G$4,$V274-4,0))</f>
        <v/>
      </c>
      <c r="I274" s="177" t="str">
        <f ca="1">IF(ISERROR($V274),"",OFFSET('Smelter Look-up'!$H$4,$V274-4,0))</f>
        <v/>
      </c>
      <c r="J274" s="177" t="str">
        <f ca="1">IF(ISERROR($V274),"",OFFSET('Smelter Look-up'!$I$4,$V274-4,0))</f>
        <v/>
      </c>
      <c r="K274" s="216"/>
      <c r="L274" s="216"/>
      <c r="M274" s="216"/>
      <c r="N274" s="216"/>
      <c r="O274" s="216"/>
      <c r="P274" s="178"/>
      <c r="Q274" s="217"/>
      <c r="R274" s="175" t="str">
        <f ca="1">IF(ISERROR($V274),"",OFFSET('Smelter Look-up'!$C$4,$V274-4,0)&amp;"")</f>
        <v/>
      </c>
      <c r="S274" s="174" t="str">
        <f t="shared" ca="1" si="39"/>
        <v/>
      </c>
      <c r="T274" s="174" t="str">
        <f ca="1">IF(B274="","",IF(ISERROR(MATCH($J274,SorP!$B$1:$B$6279,0)),"",INDIRECT("'SorP'!$A$"&amp;MATCH($S274&amp;$J274,SorP!C:C,0))))</f>
        <v/>
      </c>
      <c r="U274" s="194"/>
      <c r="V274" s="218" t="e">
        <f>IF(C274="",NA(),IF(OR(C274="Smelter not listed",C274="Smelter not yet identified"),MATCH($B274&amp;$D274,'Smelter Look-up'!$J:$J,0),MATCH($B274&amp;$C274,'Smelter Look-up'!$J:$J,0)))</f>
        <v>#N/A</v>
      </c>
      <c r="X274" s="219">
        <f t="shared" ca="1" si="40"/>
        <v>0</v>
      </c>
      <c r="AB274" s="220" t="str">
        <f t="shared" si="41"/>
        <v/>
      </c>
    </row>
    <row r="275" spans="1:28" s="219" customFormat="1" ht="20.25">
      <c r="A275" s="174"/>
      <c r="B275" s="175" t="str">
        <f>IF(LEN(A275)=0,"",INDEX('Smelter Look-up'!$A:$A,MATCH($A275,'Smelter Look-up'!$E:$E,0)))</f>
        <v/>
      </c>
      <c r="C275" s="179" t="str">
        <f>IF(LEN(A275)=0,"",INDEX('Smelter Look-up'!$C:$C,MATCH($A275,'Smelter Look-up'!$E:$E,0)))</f>
        <v/>
      </c>
      <c r="D275" s="222"/>
      <c r="E275" s="175" t="str">
        <f ca="1">IF(ISERROR($V275),"",OFFSET('Smelter Look-up'!$D$4,$V275-4,0)&amp;"")</f>
        <v/>
      </c>
      <c r="F275" s="175" t="str">
        <f ca="1">IF(ISERROR($V275),"",OFFSET('Smelter Look-up'!$E$4,$V275-4,0))</f>
        <v/>
      </c>
      <c r="G275" s="175" t="str">
        <f ca="1">IF(C275=$X$4,IF(ISERROR($V275),"Enter smelter details","RMI"),IF(ISERROR($V275),"",OFFSET('Smelter Look-up'!$F$4,$V275-4,0)))</f>
        <v/>
      </c>
      <c r="H275" s="176" t="str">
        <f ca="1">IF(ISERROR($V275),"",OFFSET('Smelter Look-up'!$G$4,$V275-4,0))</f>
        <v/>
      </c>
      <c r="I275" s="177" t="str">
        <f ca="1">IF(ISERROR($V275),"",OFFSET('Smelter Look-up'!$H$4,$V275-4,0))</f>
        <v/>
      </c>
      <c r="J275" s="177" t="str">
        <f ca="1">IF(ISERROR($V275),"",OFFSET('Smelter Look-up'!$I$4,$V275-4,0))</f>
        <v/>
      </c>
      <c r="K275" s="216"/>
      <c r="L275" s="216"/>
      <c r="M275" s="216"/>
      <c r="N275" s="216"/>
      <c r="O275" s="216"/>
      <c r="P275" s="178"/>
      <c r="Q275" s="217"/>
      <c r="R275" s="175" t="str">
        <f ca="1">IF(ISERROR($V275),"",OFFSET('Smelter Look-up'!$C$4,$V275-4,0)&amp;"")</f>
        <v/>
      </c>
      <c r="S275" s="174" t="str">
        <f t="shared" ca="1" si="39"/>
        <v/>
      </c>
      <c r="T275" s="174" t="str">
        <f ca="1">IF(B275="","",IF(ISERROR(MATCH($J275,SorP!$B$1:$B$6279,0)),"",INDIRECT("'SorP'!$A$"&amp;MATCH($S275&amp;$J275,SorP!C:C,0))))</f>
        <v/>
      </c>
      <c r="U275" s="194"/>
      <c r="V275" s="218" t="e">
        <f>IF(C275="",NA(),IF(OR(C275="Smelter not listed",C275="Smelter not yet identified"),MATCH($B275&amp;$D275,'Smelter Look-up'!$J:$J,0),MATCH($B275&amp;$C275,'Smelter Look-up'!$J:$J,0)))</f>
        <v>#N/A</v>
      </c>
      <c r="X275" s="219">
        <f t="shared" ca="1" si="40"/>
        <v>0</v>
      </c>
      <c r="AB275" s="220" t="str">
        <f t="shared" si="41"/>
        <v/>
      </c>
    </row>
    <row r="276" spans="1:28" s="219" customFormat="1" ht="20.25">
      <c r="A276" s="174"/>
      <c r="B276" s="175" t="str">
        <f>IF(LEN(A276)=0,"",INDEX('Smelter Look-up'!$A:$A,MATCH($A276,'Smelter Look-up'!$E:$E,0)))</f>
        <v/>
      </c>
      <c r="C276" s="179" t="str">
        <f>IF(LEN(A276)=0,"",INDEX('Smelter Look-up'!$C:$C,MATCH($A276,'Smelter Look-up'!$E:$E,0)))</f>
        <v/>
      </c>
      <c r="D276" s="222"/>
      <c r="E276" s="175" t="str">
        <f ca="1">IF(ISERROR($V276),"",OFFSET('Smelter Look-up'!$D$4,$V276-4,0)&amp;"")</f>
        <v/>
      </c>
      <c r="F276" s="175" t="str">
        <f ca="1">IF(ISERROR($V276),"",OFFSET('Smelter Look-up'!$E$4,$V276-4,0))</f>
        <v/>
      </c>
      <c r="G276" s="175" t="str">
        <f ca="1">IF(C276=$X$4,IF(ISERROR($V276),"Enter smelter details","RMI"),IF(ISERROR($V276),"",OFFSET('Smelter Look-up'!$F$4,$V276-4,0)))</f>
        <v/>
      </c>
      <c r="H276" s="176" t="str">
        <f ca="1">IF(ISERROR($V276),"",OFFSET('Smelter Look-up'!$G$4,$V276-4,0))</f>
        <v/>
      </c>
      <c r="I276" s="177" t="str">
        <f ca="1">IF(ISERROR($V276),"",OFFSET('Smelter Look-up'!$H$4,$V276-4,0))</f>
        <v/>
      </c>
      <c r="J276" s="177" t="str">
        <f ca="1">IF(ISERROR($V276),"",OFFSET('Smelter Look-up'!$I$4,$V276-4,0))</f>
        <v/>
      </c>
      <c r="K276" s="216"/>
      <c r="L276" s="216"/>
      <c r="M276" s="216"/>
      <c r="N276" s="216"/>
      <c r="O276" s="216"/>
      <c r="P276" s="178"/>
      <c r="Q276" s="217"/>
      <c r="R276" s="175" t="str">
        <f ca="1">IF(ISERROR($V276),"",OFFSET('Smelter Look-up'!$C$4,$V276-4,0)&amp;"")</f>
        <v/>
      </c>
      <c r="S276" s="174" t="str">
        <f t="shared" ca="1" si="39"/>
        <v/>
      </c>
      <c r="T276" s="174" t="str">
        <f ca="1">IF(B276="","",IF(ISERROR(MATCH($J276,SorP!$B$1:$B$6279,0)),"",INDIRECT("'SorP'!$A$"&amp;MATCH($S276&amp;$J276,SorP!C:C,0))))</f>
        <v/>
      </c>
      <c r="U276" s="194"/>
      <c r="V276" s="218" t="e">
        <f>IF(C276="",NA(),IF(OR(C276="Smelter not listed",C276="Smelter not yet identified"),MATCH($B276&amp;$D276,'Smelter Look-up'!$J:$J,0),MATCH($B276&amp;$C276,'Smelter Look-up'!$J:$J,0)))</f>
        <v>#N/A</v>
      </c>
      <c r="X276" s="219">
        <f t="shared" ca="1" si="40"/>
        <v>0</v>
      </c>
      <c r="AB276" s="220" t="str">
        <f t="shared" si="41"/>
        <v/>
      </c>
    </row>
    <row r="277" spans="1:28" s="219" customFormat="1" ht="20.25">
      <c r="A277" s="174"/>
      <c r="B277" s="175" t="str">
        <f>IF(LEN(A277)=0,"",INDEX('Smelter Look-up'!$A:$A,MATCH($A277,'Smelter Look-up'!$E:$E,0)))</f>
        <v/>
      </c>
      <c r="C277" s="179" t="str">
        <f>IF(LEN(A277)=0,"",INDEX('Smelter Look-up'!$C:$C,MATCH($A277,'Smelter Look-up'!$E:$E,0)))</f>
        <v/>
      </c>
      <c r="D277" s="222"/>
      <c r="E277" s="175" t="str">
        <f ca="1">IF(ISERROR($V277),"",OFFSET('Smelter Look-up'!$D$4,$V277-4,0)&amp;"")</f>
        <v/>
      </c>
      <c r="F277" s="175" t="str">
        <f ca="1">IF(ISERROR($V277),"",OFFSET('Smelter Look-up'!$E$4,$V277-4,0))</f>
        <v/>
      </c>
      <c r="G277" s="175" t="str">
        <f ca="1">IF(C277=$X$4,IF(ISERROR($V277),"Enter smelter details","RMI"),IF(ISERROR($V277),"",OFFSET('Smelter Look-up'!$F$4,$V277-4,0)))</f>
        <v/>
      </c>
      <c r="H277" s="176" t="str">
        <f ca="1">IF(ISERROR($V277),"",OFFSET('Smelter Look-up'!$G$4,$V277-4,0))</f>
        <v/>
      </c>
      <c r="I277" s="177" t="str">
        <f ca="1">IF(ISERROR($V277),"",OFFSET('Smelter Look-up'!$H$4,$V277-4,0))</f>
        <v/>
      </c>
      <c r="J277" s="177" t="str">
        <f ca="1">IF(ISERROR($V277),"",OFFSET('Smelter Look-up'!$I$4,$V277-4,0))</f>
        <v/>
      </c>
      <c r="K277" s="216"/>
      <c r="L277" s="216"/>
      <c r="M277" s="216"/>
      <c r="N277" s="216"/>
      <c r="O277" s="216"/>
      <c r="P277" s="178"/>
      <c r="Q277" s="217"/>
      <c r="R277" s="175" t="str">
        <f ca="1">IF(ISERROR($V277),"",OFFSET('Smelter Look-up'!$C$4,$V277-4,0)&amp;"")</f>
        <v/>
      </c>
      <c r="S277" s="174" t="str">
        <f t="shared" ca="1" si="39"/>
        <v/>
      </c>
      <c r="T277" s="174" t="str">
        <f ca="1">IF(B277="","",IF(ISERROR(MATCH($J277,SorP!$B$1:$B$6279,0)),"",INDIRECT("'SorP'!$A$"&amp;MATCH($S277&amp;$J277,SorP!C:C,0))))</f>
        <v/>
      </c>
      <c r="U277" s="194"/>
      <c r="V277" s="218" t="e">
        <f>IF(C277="",NA(),IF(OR(C277="Smelter not listed",C277="Smelter not yet identified"),MATCH($B277&amp;$D277,'Smelter Look-up'!$J:$J,0),MATCH($B277&amp;$C277,'Smelter Look-up'!$J:$J,0)))</f>
        <v>#N/A</v>
      </c>
      <c r="X277" s="219">
        <f t="shared" ca="1" si="40"/>
        <v>0</v>
      </c>
      <c r="AB277" s="220" t="str">
        <f t="shared" si="41"/>
        <v/>
      </c>
    </row>
    <row r="278" spans="1:28" s="219" customFormat="1" ht="20.25">
      <c r="A278" s="174"/>
      <c r="B278" s="175" t="str">
        <f>IF(LEN(A278)=0,"",INDEX('Smelter Look-up'!$A:$A,MATCH($A278,'Smelter Look-up'!$E:$E,0)))</f>
        <v/>
      </c>
      <c r="C278" s="179" t="str">
        <f>IF(LEN(A278)=0,"",INDEX('Smelter Look-up'!$C:$C,MATCH($A278,'Smelter Look-up'!$E:$E,0)))</f>
        <v/>
      </c>
      <c r="D278" s="222"/>
      <c r="E278" s="175" t="str">
        <f ca="1">IF(ISERROR($V278),"",OFFSET('Smelter Look-up'!$D$4,$V278-4,0)&amp;"")</f>
        <v/>
      </c>
      <c r="F278" s="175" t="str">
        <f ca="1">IF(ISERROR($V278),"",OFFSET('Smelter Look-up'!$E$4,$V278-4,0))</f>
        <v/>
      </c>
      <c r="G278" s="175" t="str">
        <f ca="1">IF(C278=$X$4,IF(ISERROR($V278),"Enter smelter details","RMI"),IF(ISERROR($V278),"",OFFSET('Smelter Look-up'!$F$4,$V278-4,0)))</f>
        <v/>
      </c>
      <c r="H278" s="176" t="str">
        <f ca="1">IF(ISERROR($V278),"",OFFSET('Smelter Look-up'!$G$4,$V278-4,0))</f>
        <v/>
      </c>
      <c r="I278" s="177" t="str">
        <f ca="1">IF(ISERROR($V278),"",OFFSET('Smelter Look-up'!$H$4,$V278-4,0))</f>
        <v/>
      </c>
      <c r="J278" s="177" t="str">
        <f ca="1">IF(ISERROR($V278),"",OFFSET('Smelter Look-up'!$I$4,$V278-4,0))</f>
        <v/>
      </c>
      <c r="K278" s="216"/>
      <c r="L278" s="216"/>
      <c r="M278" s="216"/>
      <c r="N278" s="216"/>
      <c r="O278" s="216"/>
      <c r="P278" s="178"/>
      <c r="Q278" s="217"/>
      <c r="R278" s="175" t="str">
        <f ca="1">IF(ISERROR($V278),"",OFFSET('Smelter Look-up'!$C$4,$V278-4,0)&amp;"")</f>
        <v/>
      </c>
      <c r="S278" s="174" t="str">
        <f t="shared" ca="1" si="39"/>
        <v/>
      </c>
      <c r="T278" s="174" t="str">
        <f ca="1">IF(B278="","",IF(ISERROR(MATCH($J278,SorP!$B$1:$B$6279,0)),"",INDIRECT("'SorP'!$A$"&amp;MATCH($S278&amp;$J278,SorP!C:C,0))))</f>
        <v/>
      </c>
      <c r="U278" s="194"/>
      <c r="V278" s="218" t="e">
        <f>IF(C278="",NA(),IF(OR(C278="Smelter not listed",C278="Smelter not yet identified"),MATCH($B278&amp;$D278,'Smelter Look-up'!$J:$J,0),MATCH($B278&amp;$C278,'Smelter Look-up'!$J:$J,0)))</f>
        <v>#N/A</v>
      </c>
      <c r="X278" s="219">
        <f t="shared" ca="1" si="40"/>
        <v>0</v>
      </c>
      <c r="AB278" s="220" t="str">
        <f t="shared" si="41"/>
        <v/>
      </c>
    </row>
    <row r="279" spans="1:28" s="219" customFormat="1" ht="20.25">
      <c r="A279" s="174"/>
      <c r="B279" s="175" t="str">
        <f>IF(LEN(A279)=0,"",INDEX('Smelter Look-up'!$A:$A,MATCH($A279,'Smelter Look-up'!$E:$E,0)))</f>
        <v/>
      </c>
      <c r="C279" s="179" t="str">
        <f>IF(LEN(A279)=0,"",INDEX('Smelter Look-up'!$C:$C,MATCH($A279,'Smelter Look-up'!$E:$E,0)))</f>
        <v/>
      </c>
      <c r="D279" s="222"/>
      <c r="E279" s="175" t="str">
        <f ca="1">IF(ISERROR($V279),"",OFFSET('Smelter Look-up'!$D$4,$V279-4,0)&amp;"")</f>
        <v/>
      </c>
      <c r="F279" s="175" t="str">
        <f ca="1">IF(ISERROR($V279),"",OFFSET('Smelter Look-up'!$E$4,$V279-4,0))</f>
        <v/>
      </c>
      <c r="G279" s="175" t="str">
        <f ca="1">IF(C279=$X$4,IF(ISERROR($V279),"Enter smelter details","RMI"),IF(ISERROR($V279),"",OFFSET('Smelter Look-up'!$F$4,$V279-4,0)))</f>
        <v/>
      </c>
      <c r="H279" s="176" t="str">
        <f ca="1">IF(ISERROR($V279),"",OFFSET('Smelter Look-up'!$G$4,$V279-4,0))</f>
        <v/>
      </c>
      <c r="I279" s="177" t="str">
        <f ca="1">IF(ISERROR($V279),"",OFFSET('Smelter Look-up'!$H$4,$V279-4,0))</f>
        <v/>
      </c>
      <c r="J279" s="177" t="str">
        <f ca="1">IF(ISERROR($V279),"",OFFSET('Smelter Look-up'!$I$4,$V279-4,0))</f>
        <v/>
      </c>
      <c r="K279" s="216"/>
      <c r="L279" s="216"/>
      <c r="M279" s="216"/>
      <c r="N279" s="216"/>
      <c r="O279" s="216"/>
      <c r="P279" s="178"/>
      <c r="Q279" s="217"/>
      <c r="R279" s="175" t="str">
        <f ca="1">IF(ISERROR($V279),"",OFFSET('Smelter Look-up'!$C$4,$V279-4,0)&amp;"")</f>
        <v/>
      </c>
      <c r="S279" s="174" t="str">
        <f t="shared" ca="1" si="39"/>
        <v/>
      </c>
      <c r="T279" s="174" t="str">
        <f ca="1">IF(B279="","",IF(ISERROR(MATCH($J279,SorP!$B$1:$B$6279,0)),"",INDIRECT("'SorP'!$A$"&amp;MATCH($S279&amp;$J279,SorP!C:C,0))))</f>
        <v/>
      </c>
      <c r="U279" s="194"/>
      <c r="V279" s="218" t="e">
        <f>IF(C279="",NA(),IF(OR(C279="Smelter not listed",C279="Smelter not yet identified"),MATCH($B279&amp;$D279,'Smelter Look-up'!$J:$J,0),MATCH($B279&amp;$C279,'Smelter Look-up'!$J:$J,0)))</f>
        <v>#N/A</v>
      </c>
      <c r="X279" s="219">
        <f t="shared" ca="1" si="40"/>
        <v>0</v>
      </c>
      <c r="AB279" s="220" t="str">
        <f t="shared" si="41"/>
        <v/>
      </c>
    </row>
    <row r="280" spans="1:28" s="219" customFormat="1" ht="20.25">
      <c r="A280" s="174"/>
      <c r="B280" s="175" t="str">
        <f>IF(LEN(A280)=0,"",INDEX('Smelter Look-up'!$A:$A,MATCH($A280,'Smelter Look-up'!$E:$E,0)))</f>
        <v/>
      </c>
      <c r="C280" s="179" t="str">
        <f>IF(LEN(A280)=0,"",INDEX('Smelter Look-up'!$C:$C,MATCH($A280,'Smelter Look-up'!$E:$E,0)))</f>
        <v/>
      </c>
      <c r="D280" s="222"/>
      <c r="E280" s="175" t="str">
        <f ca="1">IF(ISERROR($V280),"",OFFSET('Smelter Look-up'!$D$4,$V280-4,0)&amp;"")</f>
        <v/>
      </c>
      <c r="F280" s="175" t="str">
        <f ca="1">IF(ISERROR($V280),"",OFFSET('Smelter Look-up'!$E$4,$V280-4,0))</f>
        <v/>
      </c>
      <c r="G280" s="175" t="str">
        <f ca="1">IF(C280=$X$4,IF(ISERROR($V280),"Enter smelter details","RMI"),IF(ISERROR($V280),"",OFFSET('Smelter Look-up'!$F$4,$V280-4,0)))</f>
        <v/>
      </c>
      <c r="H280" s="176" t="str">
        <f ca="1">IF(ISERROR($V280),"",OFFSET('Smelter Look-up'!$G$4,$V280-4,0))</f>
        <v/>
      </c>
      <c r="I280" s="177" t="str">
        <f ca="1">IF(ISERROR($V280),"",OFFSET('Smelter Look-up'!$H$4,$V280-4,0))</f>
        <v/>
      </c>
      <c r="J280" s="177" t="str">
        <f ca="1">IF(ISERROR($V280),"",OFFSET('Smelter Look-up'!$I$4,$V280-4,0))</f>
        <v/>
      </c>
      <c r="K280" s="216"/>
      <c r="L280" s="216"/>
      <c r="M280" s="216"/>
      <c r="N280" s="216"/>
      <c r="O280" s="216"/>
      <c r="P280" s="178"/>
      <c r="Q280" s="217"/>
      <c r="R280" s="175" t="str">
        <f ca="1">IF(ISERROR($V280),"",OFFSET('Smelter Look-up'!$C$4,$V280-4,0)&amp;"")</f>
        <v/>
      </c>
      <c r="S280" s="174" t="str">
        <f t="shared" ca="1" si="39"/>
        <v/>
      </c>
      <c r="T280" s="174" t="str">
        <f ca="1">IF(B280="","",IF(ISERROR(MATCH($J280,SorP!$B$1:$B$6279,0)),"",INDIRECT("'SorP'!$A$"&amp;MATCH($S280&amp;$J280,SorP!C:C,0))))</f>
        <v/>
      </c>
      <c r="U280" s="194"/>
      <c r="V280" s="218" t="e">
        <f>IF(C280="",NA(),IF(OR(C280="Smelter not listed",C280="Smelter not yet identified"),MATCH($B280&amp;$D280,'Smelter Look-up'!$J:$J,0),MATCH($B280&amp;$C280,'Smelter Look-up'!$J:$J,0)))</f>
        <v>#N/A</v>
      </c>
      <c r="X280" s="219">
        <f t="shared" ca="1" si="40"/>
        <v>0</v>
      </c>
      <c r="AB280" s="220" t="str">
        <f t="shared" si="41"/>
        <v/>
      </c>
    </row>
    <row r="281" spans="1:28" s="219" customFormat="1" ht="20.25">
      <c r="A281" s="174"/>
      <c r="B281" s="175" t="str">
        <f>IF(LEN(A281)=0,"",INDEX('Smelter Look-up'!$A:$A,MATCH($A281,'Smelter Look-up'!$E:$E,0)))</f>
        <v/>
      </c>
      <c r="C281" s="179" t="str">
        <f>IF(LEN(A281)=0,"",INDEX('Smelter Look-up'!$C:$C,MATCH($A281,'Smelter Look-up'!$E:$E,0)))</f>
        <v/>
      </c>
      <c r="D281" s="222"/>
      <c r="E281" s="175" t="str">
        <f ca="1">IF(ISERROR($V281),"",OFFSET('Smelter Look-up'!$D$4,$V281-4,0)&amp;"")</f>
        <v/>
      </c>
      <c r="F281" s="175" t="str">
        <f ca="1">IF(ISERROR($V281),"",OFFSET('Smelter Look-up'!$E$4,$V281-4,0))</f>
        <v/>
      </c>
      <c r="G281" s="175" t="str">
        <f ca="1">IF(C281=$X$4,IF(ISERROR($V281),"Enter smelter details","RMI"),IF(ISERROR($V281),"",OFFSET('Smelter Look-up'!$F$4,$V281-4,0)))</f>
        <v/>
      </c>
      <c r="H281" s="176" t="str">
        <f ca="1">IF(ISERROR($V281),"",OFFSET('Smelter Look-up'!$G$4,$V281-4,0))</f>
        <v/>
      </c>
      <c r="I281" s="177" t="str">
        <f ca="1">IF(ISERROR($V281),"",OFFSET('Smelter Look-up'!$H$4,$V281-4,0))</f>
        <v/>
      </c>
      <c r="J281" s="177" t="str">
        <f ca="1">IF(ISERROR($V281),"",OFFSET('Smelter Look-up'!$I$4,$V281-4,0))</f>
        <v/>
      </c>
      <c r="K281" s="216"/>
      <c r="L281" s="216"/>
      <c r="M281" s="216"/>
      <c r="N281" s="216"/>
      <c r="O281" s="216"/>
      <c r="P281" s="178"/>
      <c r="Q281" s="217"/>
      <c r="R281" s="175" t="str">
        <f ca="1">IF(ISERROR($V281),"",OFFSET('Smelter Look-up'!$C$4,$V281-4,0)&amp;"")</f>
        <v/>
      </c>
      <c r="S281" s="174" t="str">
        <f t="shared" ca="1" si="39"/>
        <v/>
      </c>
      <c r="T281" s="174" t="str">
        <f ca="1">IF(B281="","",IF(ISERROR(MATCH($J281,SorP!$B$1:$B$6279,0)),"",INDIRECT("'SorP'!$A$"&amp;MATCH($S281&amp;$J281,SorP!C:C,0))))</f>
        <v/>
      </c>
      <c r="U281" s="194"/>
      <c r="V281" s="218" t="e">
        <f>IF(C281="",NA(),IF(OR(C281="Smelter not listed",C281="Smelter not yet identified"),MATCH($B281&amp;$D281,'Smelter Look-up'!$J:$J,0),MATCH($B281&amp;$C281,'Smelter Look-up'!$J:$J,0)))</f>
        <v>#N/A</v>
      </c>
      <c r="X281" s="219">
        <f t="shared" ca="1" si="40"/>
        <v>0</v>
      </c>
      <c r="AB281" s="220" t="str">
        <f t="shared" si="41"/>
        <v/>
      </c>
    </row>
    <row r="282" spans="1:28" s="219" customFormat="1" ht="20.25">
      <c r="A282" s="174"/>
      <c r="B282" s="175" t="str">
        <f>IF(LEN(A282)=0,"",INDEX('Smelter Look-up'!$A:$A,MATCH($A282,'Smelter Look-up'!$E:$E,0)))</f>
        <v/>
      </c>
      <c r="C282" s="179" t="str">
        <f>IF(LEN(A282)=0,"",INDEX('Smelter Look-up'!$C:$C,MATCH($A282,'Smelter Look-up'!$E:$E,0)))</f>
        <v/>
      </c>
      <c r="D282" s="222"/>
      <c r="E282" s="175" t="str">
        <f ca="1">IF(ISERROR($V282),"",OFFSET('Smelter Look-up'!$D$4,$V282-4,0)&amp;"")</f>
        <v/>
      </c>
      <c r="F282" s="175" t="str">
        <f ca="1">IF(ISERROR($V282),"",OFFSET('Smelter Look-up'!$E$4,$V282-4,0))</f>
        <v/>
      </c>
      <c r="G282" s="175" t="str">
        <f ca="1">IF(C282=$X$4,IF(ISERROR($V282),"Enter smelter details","RMI"),IF(ISERROR($V282),"",OFFSET('Smelter Look-up'!$F$4,$V282-4,0)))</f>
        <v/>
      </c>
      <c r="H282" s="176" t="str">
        <f ca="1">IF(ISERROR($V282),"",OFFSET('Smelter Look-up'!$G$4,$V282-4,0))</f>
        <v/>
      </c>
      <c r="I282" s="177" t="str">
        <f ca="1">IF(ISERROR($V282),"",OFFSET('Smelter Look-up'!$H$4,$V282-4,0))</f>
        <v/>
      </c>
      <c r="J282" s="177" t="str">
        <f ca="1">IF(ISERROR($V282),"",OFFSET('Smelter Look-up'!$I$4,$V282-4,0))</f>
        <v/>
      </c>
      <c r="K282" s="216"/>
      <c r="L282" s="216"/>
      <c r="M282" s="216"/>
      <c r="N282" s="216"/>
      <c r="O282" s="216"/>
      <c r="P282" s="178"/>
      <c r="Q282" s="217"/>
      <c r="R282" s="175" t="str">
        <f ca="1">IF(ISERROR($V282),"",OFFSET('Smelter Look-up'!$C$4,$V282-4,0)&amp;"")</f>
        <v/>
      </c>
      <c r="S282" s="174" t="str">
        <f t="shared" ca="1" si="39"/>
        <v/>
      </c>
      <c r="T282" s="174" t="str">
        <f ca="1">IF(B282="","",IF(ISERROR(MATCH($J282,SorP!$B$1:$B$6279,0)),"",INDIRECT("'SorP'!$A$"&amp;MATCH($S282&amp;$J282,SorP!C:C,0))))</f>
        <v/>
      </c>
      <c r="U282" s="194"/>
      <c r="V282" s="218" t="e">
        <f>IF(C282="",NA(),IF(OR(C282="Smelter not listed",C282="Smelter not yet identified"),MATCH($B282&amp;$D282,'Smelter Look-up'!$J:$J,0),MATCH($B282&amp;$C282,'Smelter Look-up'!$J:$J,0)))</f>
        <v>#N/A</v>
      </c>
      <c r="X282" s="219">
        <f t="shared" ca="1" si="40"/>
        <v>0</v>
      </c>
      <c r="AB282" s="220" t="str">
        <f t="shared" si="41"/>
        <v/>
      </c>
    </row>
    <row r="283" spans="1:28" s="219" customFormat="1" ht="20.25">
      <c r="A283" s="174"/>
      <c r="B283" s="175" t="str">
        <f>IF(LEN(A283)=0,"",INDEX('Smelter Look-up'!$A:$A,MATCH($A283,'Smelter Look-up'!$E:$E,0)))</f>
        <v/>
      </c>
      <c r="C283" s="179" t="str">
        <f>IF(LEN(A283)=0,"",INDEX('Smelter Look-up'!$C:$C,MATCH($A283,'Smelter Look-up'!$E:$E,0)))</f>
        <v/>
      </c>
      <c r="D283" s="222"/>
      <c r="E283" s="175" t="str">
        <f ca="1">IF(ISERROR($V283),"",OFFSET('Smelter Look-up'!$D$4,$V283-4,0)&amp;"")</f>
        <v/>
      </c>
      <c r="F283" s="175" t="str">
        <f ca="1">IF(ISERROR($V283),"",OFFSET('Smelter Look-up'!$E$4,$V283-4,0))</f>
        <v/>
      </c>
      <c r="G283" s="175" t="str">
        <f ca="1">IF(C283=$X$4,IF(ISERROR($V283),"Enter smelter details","RMI"),IF(ISERROR($V283),"",OFFSET('Smelter Look-up'!$F$4,$V283-4,0)))</f>
        <v/>
      </c>
      <c r="H283" s="176" t="str">
        <f ca="1">IF(ISERROR($V283),"",OFFSET('Smelter Look-up'!$G$4,$V283-4,0))</f>
        <v/>
      </c>
      <c r="I283" s="177" t="str">
        <f ca="1">IF(ISERROR($V283),"",OFFSET('Smelter Look-up'!$H$4,$V283-4,0))</f>
        <v/>
      </c>
      <c r="J283" s="177" t="str">
        <f ca="1">IF(ISERROR($V283),"",OFFSET('Smelter Look-up'!$I$4,$V283-4,0))</f>
        <v/>
      </c>
      <c r="K283" s="216"/>
      <c r="L283" s="216"/>
      <c r="M283" s="216"/>
      <c r="N283" s="216"/>
      <c r="O283" s="216"/>
      <c r="P283" s="178"/>
      <c r="Q283" s="217"/>
      <c r="R283" s="175" t="str">
        <f ca="1">IF(ISERROR($V283),"",OFFSET('Smelter Look-up'!$C$4,$V283-4,0)&amp;"")</f>
        <v/>
      </c>
      <c r="S283" s="174" t="str">
        <f t="shared" ca="1" si="39"/>
        <v/>
      </c>
      <c r="T283" s="174" t="str">
        <f ca="1">IF(B283="","",IF(ISERROR(MATCH($J283,SorP!$B$1:$B$6279,0)),"",INDIRECT("'SorP'!$A$"&amp;MATCH($S283&amp;$J283,SorP!C:C,0))))</f>
        <v/>
      </c>
      <c r="U283" s="194"/>
      <c r="V283" s="218" t="e">
        <f>IF(C283="",NA(),IF(OR(C283="Smelter not listed",C283="Smelter not yet identified"),MATCH($B283&amp;$D283,'Smelter Look-up'!$J:$J,0),MATCH($B283&amp;$C283,'Smelter Look-up'!$J:$J,0)))</f>
        <v>#N/A</v>
      </c>
      <c r="X283" s="219">
        <f t="shared" ca="1" si="40"/>
        <v>0</v>
      </c>
      <c r="AB283" s="220" t="str">
        <f t="shared" si="41"/>
        <v/>
      </c>
    </row>
    <row r="284" spans="1:28" s="219" customFormat="1" ht="20.25">
      <c r="A284" s="174"/>
      <c r="B284" s="175" t="str">
        <f>IF(LEN(A284)=0,"",INDEX('Smelter Look-up'!$A:$A,MATCH($A284,'Smelter Look-up'!$E:$E,0)))</f>
        <v/>
      </c>
      <c r="C284" s="179" t="str">
        <f>IF(LEN(A284)=0,"",INDEX('Smelter Look-up'!$C:$C,MATCH($A284,'Smelter Look-up'!$E:$E,0)))</f>
        <v/>
      </c>
      <c r="D284" s="222"/>
      <c r="E284" s="175" t="str">
        <f ca="1">IF(ISERROR($V284),"",OFFSET('Smelter Look-up'!$D$4,$V284-4,0)&amp;"")</f>
        <v/>
      </c>
      <c r="F284" s="175" t="str">
        <f ca="1">IF(ISERROR($V284),"",OFFSET('Smelter Look-up'!$E$4,$V284-4,0))</f>
        <v/>
      </c>
      <c r="G284" s="175" t="str">
        <f ca="1">IF(C284=$X$4,IF(ISERROR($V284),"Enter smelter details","RMI"),IF(ISERROR($V284),"",OFFSET('Smelter Look-up'!$F$4,$V284-4,0)))</f>
        <v/>
      </c>
      <c r="H284" s="176" t="str">
        <f ca="1">IF(ISERROR($V284),"",OFFSET('Smelter Look-up'!$G$4,$V284-4,0))</f>
        <v/>
      </c>
      <c r="I284" s="177" t="str">
        <f ca="1">IF(ISERROR($V284),"",OFFSET('Smelter Look-up'!$H$4,$V284-4,0))</f>
        <v/>
      </c>
      <c r="J284" s="177" t="str">
        <f ca="1">IF(ISERROR($V284),"",OFFSET('Smelter Look-up'!$I$4,$V284-4,0))</f>
        <v/>
      </c>
      <c r="K284" s="216"/>
      <c r="L284" s="216"/>
      <c r="M284" s="216"/>
      <c r="N284" s="216"/>
      <c r="O284" s="216"/>
      <c r="P284" s="178"/>
      <c r="Q284" s="217"/>
      <c r="R284" s="175" t="str">
        <f ca="1">IF(ISERROR($V284),"",OFFSET('Smelter Look-up'!$C$4,$V284-4,0)&amp;"")</f>
        <v/>
      </c>
      <c r="S284" s="174" t="str">
        <f t="shared" ca="1" si="39"/>
        <v/>
      </c>
      <c r="T284" s="174" t="str">
        <f ca="1">IF(B284="","",IF(ISERROR(MATCH($J284,SorP!$B$1:$B$6279,0)),"",INDIRECT("'SorP'!$A$"&amp;MATCH($S284&amp;$J284,SorP!C:C,0))))</f>
        <v/>
      </c>
      <c r="U284" s="194"/>
      <c r="V284" s="218" t="e">
        <f>IF(C284="",NA(),IF(OR(C284="Smelter not listed",C284="Smelter not yet identified"),MATCH($B284&amp;$D284,'Smelter Look-up'!$J:$J,0),MATCH($B284&amp;$C284,'Smelter Look-up'!$J:$J,0)))</f>
        <v>#N/A</v>
      </c>
      <c r="X284" s="219">
        <f t="shared" ca="1" si="40"/>
        <v>0</v>
      </c>
      <c r="AB284" s="220" t="str">
        <f t="shared" si="41"/>
        <v/>
      </c>
    </row>
    <row r="285" spans="1:28" s="219" customFormat="1" ht="20.25">
      <c r="A285" s="174"/>
      <c r="B285" s="175" t="str">
        <f>IF(LEN(A285)=0,"",INDEX('Smelter Look-up'!$A:$A,MATCH($A285,'Smelter Look-up'!$E:$E,0)))</f>
        <v/>
      </c>
      <c r="C285" s="179" t="str">
        <f>IF(LEN(A285)=0,"",INDEX('Smelter Look-up'!$C:$C,MATCH($A285,'Smelter Look-up'!$E:$E,0)))</f>
        <v/>
      </c>
      <c r="D285" s="222"/>
      <c r="E285" s="175" t="str">
        <f ca="1">IF(ISERROR($V285),"",OFFSET('Smelter Look-up'!$D$4,$V285-4,0)&amp;"")</f>
        <v/>
      </c>
      <c r="F285" s="175" t="str">
        <f ca="1">IF(ISERROR($V285),"",OFFSET('Smelter Look-up'!$E$4,$V285-4,0))</f>
        <v/>
      </c>
      <c r="G285" s="175" t="str">
        <f ca="1">IF(C285=$X$4,IF(ISERROR($V285),"Enter smelter details","RMI"),IF(ISERROR($V285),"",OFFSET('Smelter Look-up'!$F$4,$V285-4,0)))</f>
        <v/>
      </c>
      <c r="H285" s="176" t="str">
        <f ca="1">IF(ISERROR($V285),"",OFFSET('Smelter Look-up'!$G$4,$V285-4,0))</f>
        <v/>
      </c>
      <c r="I285" s="177" t="str">
        <f ca="1">IF(ISERROR($V285),"",OFFSET('Smelter Look-up'!$H$4,$V285-4,0))</f>
        <v/>
      </c>
      <c r="J285" s="177" t="str">
        <f ca="1">IF(ISERROR($V285),"",OFFSET('Smelter Look-up'!$I$4,$V285-4,0))</f>
        <v/>
      </c>
      <c r="K285" s="216"/>
      <c r="L285" s="216"/>
      <c r="M285" s="216"/>
      <c r="N285" s="216"/>
      <c r="O285" s="216"/>
      <c r="P285" s="178"/>
      <c r="Q285" s="217"/>
      <c r="R285" s="175" t="str">
        <f ca="1">IF(ISERROR($V285),"",OFFSET('Smelter Look-up'!$C$4,$V285-4,0)&amp;"")</f>
        <v/>
      </c>
      <c r="S285" s="174" t="str">
        <f t="shared" ca="1" si="39"/>
        <v/>
      </c>
      <c r="T285" s="174" t="str">
        <f ca="1">IF(B285="","",IF(ISERROR(MATCH($J285,SorP!$B$1:$B$6279,0)),"",INDIRECT("'SorP'!$A$"&amp;MATCH($S285&amp;$J285,SorP!C:C,0))))</f>
        <v/>
      </c>
      <c r="U285" s="194"/>
      <c r="V285" s="218" t="e">
        <f>IF(C285="",NA(),IF(OR(C285="Smelter not listed",C285="Smelter not yet identified"),MATCH($B285&amp;$D285,'Smelter Look-up'!$J:$J,0),MATCH($B285&amp;$C285,'Smelter Look-up'!$J:$J,0)))</f>
        <v>#N/A</v>
      </c>
      <c r="X285" s="219">
        <f t="shared" ca="1" si="40"/>
        <v>0</v>
      </c>
      <c r="AB285" s="220" t="str">
        <f t="shared" si="41"/>
        <v/>
      </c>
    </row>
    <row r="286" spans="1:28" s="219" customFormat="1" ht="20.25">
      <c r="A286" s="174"/>
      <c r="B286" s="175" t="str">
        <f>IF(LEN(A286)=0,"",INDEX('Smelter Look-up'!$A:$A,MATCH($A286,'Smelter Look-up'!$E:$E,0)))</f>
        <v/>
      </c>
      <c r="C286" s="179" t="str">
        <f>IF(LEN(A286)=0,"",INDEX('Smelter Look-up'!$C:$C,MATCH($A286,'Smelter Look-up'!$E:$E,0)))</f>
        <v/>
      </c>
      <c r="D286" s="222"/>
      <c r="E286" s="175" t="str">
        <f ca="1">IF(ISERROR($V286),"",OFFSET('Smelter Look-up'!$D$4,$V286-4,0)&amp;"")</f>
        <v/>
      </c>
      <c r="F286" s="175" t="str">
        <f ca="1">IF(ISERROR($V286),"",OFFSET('Smelter Look-up'!$E$4,$V286-4,0))</f>
        <v/>
      </c>
      <c r="G286" s="175" t="str">
        <f ca="1">IF(C286=$X$4,IF(ISERROR($V286),"Enter smelter details","RMI"),IF(ISERROR($V286),"",OFFSET('Smelter Look-up'!$F$4,$V286-4,0)))</f>
        <v/>
      </c>
      <c r="H286" s="176" t="str">
        <f ca="1">IF(ISERROR($V286),"",OFFSET('Smelter Look-up'!$G$4,$V286-4,0))</f>
        <v/>
      </c>
      <c r="I286" s="177" t="str">
        <f ca="1">IF(ISERROR($V286),"",OFFSET('Smelter Look-up'!$H$4,$V286-4,0))</f>
        <v/>
      </c>
      <c r="J286" s="177" t="str">
        <f ca="1">IF(ISERROR($V286),"",OFFSET('Smelter Look-up'!$I$4,$V286-4,0))</f>
        <v/>
      </c>
      <c r="K286" s="216"/>
      <c r="L286" s="216"/>
      <c r="M286" s="216"/>
      <c r="N286" s="216"/>
      <c r="O286" s="216"/>
      <c r="P286" s="178"/>
      <c r="Q286" s="217"/>
      <c r="R286" s="175" t="str">
        <f ca="1">IF(ISERROR($V286),"",OFFSET('Smelter Look-up'!$C$4,$V286-4,0)&amp;"")</f>
        <v/>
      </c>
      <c r="S286" s="174" t="str">
        <f t="shared" ca="1" si="39"/>
        <v/>
      </c>
      <c r="T286" s="174" t="str">
        <f ca="1">IF(B286="","",IF(ISERROR(MATCH($J286,SorP!$B$1:$B$6279,0)),"",INDIRECT("'SorP'!$A$"&amp;MATCH($S286&amp;$J286,SorP!C:C,0))))</f>
        <v/>
      </c>
      <c r="U286" s="194"/>
      <c r="V286" s="218" t="e">
        <f>IF(C286="",NA(),IF(OR(C286="Smelter not listed",C286="Smelter not yet identified"),MATCH($B286&amp;$D286,'Smelter Look-up'!$J:$J,0),MATCH($B286&amp;$C286,'Smelter Look-up'!$J:$J,0)))</f>
        <v>#N/A</v>
      </c>
      <c r="X286" s="219">
        <f t="shared" ca="1" si="40"/>
        <v>0</v>
      </c>
      <c r="AB286" s="220" t="str">
        <f t="shared" si="41"/>
        <v/>
      </c>
    </row>
    <row r="287" spans="1:28" s="219" customFormat="1" ht="20.25">
      <c r="A287" s="174"/>
      <c r="B287" s="175" t="str">
        <f>IF(LEN(A287)=0,"",INDEX('Smelter Look-up'!$A:$A,MATCH($A287,'Smelter Look-up'!$E:$E,0)))</f>
        <v/>
      </c>
      <c r="C287" s="179" t="str">
        <f>IF(LEN(A287)=0,"",INDEX('Smelter Look-up'!$C:$C,MATCH($A287,'Smelter Look-up'!$E:$E,0)))</f>
        <v/>
      </c>
      <c r="D287" s="222"/>
      <c r="E287" s="175" t="str">
        <f ca="1">IF(ISERROR($V287),"",OFFSET('Smelter Look-up'!$D$4,$V287-4,0)&amp;"")</f>
        <v/>
      </c>
      <c r="F287" s="175" t="str">
        <f ca="1">IF(ISERROR($V287),"",OFFSET('Smelter Look-up'!$E$4,$V287-4,0))</f>
        <v/>
      </c>
      <c r="G287" s="175" t="str">
        <f ca="1">IF(C287=$X$4,IF(ISERROR($V287),"Enter smelter details","RMI"),IF(ISERROR($V287),"",OFFSET('Smelter Look-up'!$F$4,$V287-4,0)))</f>
        <v/>
      </c>
      <c r="H287" s="176" t="str">
        <f ca="1">IF(ISERROR($V287),"",OFFSET('Smelter Look-up'!$G$4,$V287-4,0))</f>
        <v/>
      </c>
      <c r="I287" s="177" t="str">
        <f ca="1">IF(ISERROR($V287),"",OFFSET('Smelter Look-up'!$H$4,$V287-4,0))</f>
        <v/>
      </c>
      <c r="J287" s="177" t="str">
        <f ca="1">IF(ISERROR($V287),"",OFFSET('Smelter Look-up'!$I$4,$V287-4,0))</f>
        <v/>
      </c>
      <c r="K287" s="216"/>
      <c r="L287" s="216"/>
      <c r="M287" s="216"/>
      <c r="N287" s="216"/>
      <c r="O287" s="216"/>
      <c r="P287" s="178"/>
      <c r="Q287" s="217"/>
      <c r="R287" s="175" t="str">
        <f ca="1">IF(ISERROR($V287),"",OFFSET('Smelter Look-up'!$C$4,$V287-4,0)&amp;"")</f>
        <v/>
      </c>
      <c r="S287" s="174" t="str">
        <f t="shared" ca="1" si="39"/>
        <v/>
      </c>
      <c r="T287" s="174" t="str">
        <f ca="1">IF(B287="","",IF(ISERROR(MATCH($J287,SorP!$B$1:$B$6279,0)),"",INDIRECT("'SorP'!$A$"&amp;MATCH($S287&amp;$J287,SorP!C:C,0))))</f>
        <v/>
      </c>
      <c r="U287" s="194"/>
      <c r="V287" s="218" t="e">
        <f>IF(C287="",NA(),IF(OR(C287="Smelter not listed",C287="Smelter not yet identified"),MATCH($B287&amp;$D287,'Smelter Look-up'!$J:$J,0),MATCH($B287&amp;$C287,'Smelter Look-up'!$J:$J,0)))</f>
        <v>#N/A</v>
      </c>
      <c r="X287" s="219">
        <f t="shared" ca="1" si="40"/>
        <v>0</v>
      </c>
      <c r="AB287" s="220" t="str">
        <f t="shared" si="41"/>
        <v/>
      </c>
    </row>
    <row r="288" spans="1:28" s="219" customFormat="1" ht="20.25">
      <c r="A288" s="174"/>
      <c r="B288" s="175" t="str">
        <f>IF(LEN(A288)=0,"",INDEX('Smelter Look-up'!$A:$A,MATCH($A288,'Smelter Look-up'!$E:$E,0)))</f>
        <v/>
      </c>
      <c r="C288" s="179" t="str">
        <f>IF(LEN(A288)=0,"",INDEX('Smelter Look-up'!$C:$C,MATCH($A288,'Smelter Look-up'!$E:$E,0)))</f>
        <v/>
      </c>
      <c r="D288" s="222"/>
      <c r="E288" s="175" t="str">
        <f ca="1">IF(ISERROR($V288),"",OFFSET('Smelter Look-up'!$D$4,$V288-4,0)&amp;"")</f>
        <v/>
      </c>
      <c r="F288" s="175" t="str">
        <f ca="1">IF(ISERROR($V288),"",OFFSET('Smelter Look-up'!$E$4,$V288-4,0))</f>
        <v/>
      </c>
      <c r="G288" s="175" t="str">
        <f ca="1">IF(C288=$X$4,IF(ISERROR($V288),"Enter smelter details","RMI"),IF(ISERROR($V288),"",OFFSET('Smelter Look-up'!$F$4,$V288-4,0)))</f>
        <v/>
      </c>
      <c r="H288" s="176" t="str">
        <f ca="1">IF(ISERROR($V288),"",OFFSET('Smelter Look-up'!$G$4,$V288-4,0))</f>
        <v/>
      </c>
      <c r="I288" s="177" t="str">
        <f ca="1">IF(ISERROR($V288),"",OFFSET('Smelter Look-up'!$H$4,$V288-4,0))</f>
        <v/>
      </c>
      <c r="J288" s="177" t="str">
        <f ca="1">IF(ISERROR($V288),"",OFFSET('Smelter Look-up'!$I$4,$V288-4,0))</f>
        <v/>
      </c>
      <c r="K288" s="216"/>
      <c r="L288" s="216"/>
      <c r="M288" s="216"/>
      <c r="N288" s="216"/>
      <c r="O288" s="216"/>
      <c r="P288" s="178"/>
      <c r="Q288" s="217"/>
      <c r="R288" s="175" t="str">
        <f ca="1">IF(ISERROR($V288),"",OFFSET('Smelter Look-up'!$C$4,$V288-4,0)&amp;"")</f>
        <v/>
      </c>
      <c r="S288" s="174" t="str">
        <f t="shared" ca="1" si="39"/>
        <v/>
      </c>
      <c r="T288" s="174" t="str">
        <f ca="1">IF(B288="","",IF(ISERROR(MATCH($J288,SorP!$B$1:$B$6279,0)),"",INDIRECT("'SorP'!$A$"&amp;MATCH($S288&amp;$J288,SorP!C:C,0))))</f>
        <v/>
      </c>
      <c r="U288" s="194"/>
      <c r="V288" s="218" t="e">
        <f>IF(C288="",NA(),IF(OR(C288="Smelter not listed",C288="Smelter not yet identified"),MATCH($B288&amp;$D288,'Smelter Look-up'!$J:$J,0),MATCH($B288&amp;$C288,'Smelter Look-up'!$J:$J,0)))</f>
        <v>#N/A</v>
      </c>
      <c r="X288" s="219">
        <f t="shared" ca="1" si="40"/>
        <v>0</v>
      </c>
      <c r="AB288" s="220" t="str">
        <f t="shared" si="41"/>
        <v/>
      </c>
    </row>
    <row r="289" spans="1:28" s="219" customFormat="1" ht="20.25">
      <c r="A289" s="174"/>
      <c r="B289" s="175" t="str">
        <f>IF(LEN(A289)=0,"",INDEX('Smelter Look-up'!$A:$A,MATCH($A289,'Smelter Look-up'!$E:$E,0)))</f>
        <v/>
      </c>
      <c r="C289" s="179" t="str">
        <f>IF(LEN(A289)=0,"",INDEX('Smelter Look-up'!$C:$C,MATCH($A289,'Smelter Look-up'!$E:$E,0)))</f>
        <v/>
      </c>
      <c r="D289" s="222"/>
      <c r="E289" s="175" t="str">
        <f ca="1">IF(ISERROR($V289),"",OFFSET('Smelter Look-up'!$D$4,$V289-4,0)&amp;"")</f>
        <v/>
      </c>
      <c r="F289" s="175" t="str">
        <f ca="1">IF(ISERROR($V289),"",OFFSET('Smelter Look-up'!$E$4,$V289-4,0))</f>
        <v/>
      </c>
      <c r="G289" s="175" t="str">
        <f ca="1">IF(C289=$X$4,IF(ISERROR($V289),"Enter smelter details","RMI"),IF(ISERROR($V289),"",OFFSET('Smelter Look-up'!$F$4,$V289-4,0)))</f>
        <v/>
      </c>
      <c r="H289" s="176" t="str">
        <f ca="1">IF(ISERROR($V289),"",OFFSET('Smelter Look-up'!$G$4,$V289-4,0))</f>
        <v/>
      </c>
      <c r="I289" s="177" t="str">
        <f ca="1">IF(ISERROR($V289),"",OFFSET('Smelter Look-up'!$H$4,$V289-4,0))</f>
        <v/>
      </c>
      <c r="J289" s="177" t="str">
        <f ca="1">IF(ISERROR($V289),"",OFFSET('Smelter Look-up'!$I$4,$V289-4,0))</f>
        <v/>
      </c>
      <c r="K289" s="216"/>
      <c r="L289" s="216"/>
      <c r="M289" s="216"/>
      <c r="N289" s="216"/>
      <c r="O289" s="216"/>
      <c r="P289" s="178"/>
      <c r="Q289" s="217"/>
      <c r="R289" s="175" t="str">
        <f ca="1">IF(ISERROR($V289),"",OFFSET('Smelter Look-up'!$C$4,$V289-4,0)&amp;"")</f>
        <v/>
      </c>
      <c r="S289" s="174" t="str">
        <f t="shared" ca="1" si="39"/>
        <v/>
      </c>
      <c r="T289" s="174" t="str">
        <f ca="1">IF(B289="","",IF(ISERROR(MATCH($J289,SorP!$B$1:$B$6279,0)),"",INDIRECT("'SorP'!$A$"&amp;MATCH($S289&amp;$J289,SorP!C:C,0))))</f>
        <v/>
      </c>
      <c r="U289" s="194"/>
      <c r="V289" s="218" t="e">
        <f>IF(C289="",NA(),IF(OR(C289="Smelter not listed",C289="Smelter not yet identified"),MATCH($B289&amp;$D289,'Smelter Look-up'!$J:$J,0),MATCH($B289&amp;$C289,'Smelter Look-up'!$J:$J,0)))</f>
        <v>#N/A</v>
      </c>
      <c r="X289" s="219">
        <f t="shared" ca="1" si="40"/>
        <v>0</v>
      </c>
      <c r="AB289" s="220" t="str">
        <f t="shared" si="41"/>
        <v/>
      </c>
    </row>
    <row r="290" spans="1:28" s="219" customFormat="1" ht="20.25">
      <c r="A290" s="174"/>
      <c r="B290" s="175" t="str">
        <f>IF(LEN(A290)=0,"",INDEX('Smelter Look-up'!$A:$A,MATCH($A290,'Smelter Look-up'!$E:$E,0)))</f>
        <v/>
      </c>
      <c r="C290" s="179" t="str">
        <f>IF(LEN(A290)=0,"",INDEX('Smelter Look-up'!$C:$C,MATCH($A290,'Smelter Look-up'!$E:$E,0)))</f>
        <v/>
      </c>
      <c r="D290" s="222"/>
      <c r="E290" s="175" t="str">
        <f ca="1">IF(ISERROR($V290),"",OFFSET('Smelter Look-up'!$D$4,$V290-4,0)&amp;"")</f>
        <v/>
      </c>
      <c r="F290" s="175" t="str">
        <f ca="1">IF(ISERROR($V290),"",OFFSET('Smelter Look-up'!$E$4,$V290-4,0))</f>
        <v/>
      </c>
      <c r="G290" s="175" t="str">
        <f ca="1">IF(C290=$X$4,IF(ISERROR($V290),"Enter smelter details","RMI"),IF(ISERROR($V290),"",OFFSET('Smelter Look-up'!$F$4,$V290-4,0)))</f>
        <v/>
      </c>
      <c r="H290" s="176" t="str">
        <f ca="1">IF(ISERROR($V290),"",OFFSET('Smelter Look-up'!$G$4,$V290-4,0))</f>
        <v/>
      </c>
      <c r="I290" s="177" t="str">
        <f ca="1">IF(ISERROR($V290),"",OFFSET('Smelter Look-up'!$H$4,$V290-4,0))</f>
        <v/>
      </c>
      <c r="J290" s="177" t="str">
        <f ca="1">IF(ISERROR($V290),"",OFFSET('Smelter Look-up'!$I$4,$V290-4,0))</f>
        <v/>
      </c>
      <c r="K290" s="216"/>
      <c r="L290" s="216"/>
      <c r="M290" s="216"/>
      <c r="N290" s="216"/>
      <c r="O290" s="216"/>
      <c r="P290" s="178"/>
      <c r="Q290" s="217"/>
      <c r="R290" s="175" t="str">
        <f ca="1">IF(ISERROR($V290),"",OFFSET('Smelter Look-up'!$C$4,$V290-4,0)&amp;"")</f>
        <v/>
      </c>
      <c r="S290" s="174" t="str">
        <f t="shared" ca="1" si="39"/>
        <v/>
      </c>
      <c r="T290" s="174" t="str">
        <f ca="1">IF(B290="","",IF(ISERROR(MATCH($J290,SorP!$B$1:$B$6279,0)),"",INDIRECT("'SorP'!$A$"&amp;MATCH($S290&amp;$J290,SorP!C:C,0))))</f>
        <v/>
      </c>
      <c r="U290" s="194"/>
      <c r="V290" s="218" t="e">
        <f>IF(C290="",NA(),IF(OR(C290="Smelter not listed",C290="Smelter not yet identified"),MATCH($B290&amp;$D290,'Smelter Look-up'!$J:$J,0),MATCH($B290&amp;$C290,'Smelter Look-up'!$J:$J,0)))</f>
        <v>#N/A</v>
      </c>
      <c r="X290" s="219">
        <f t="shared" ca="1" si="40"/>
        <v>0</v>
      </c>
      <c r="AB290" s="220" t="str">
        <f t="shared" si="41"/>
        <v/>
      </c>
    </row>
    <row r="291" spans="1:28" s="219" customFormat="1" ht="20.25">
      <c r="A291" s="174"/>
      <c r="B291" s="175" t="str">
        <f>IF(LEN(A291)=0,"",INDEX('Smelter Look-up'!$A:$A,MATCH($A291,'Smelter Look-up'!$E:$E,0)))</f>
        <v/>
      </c>
      <c r="C291" s="179" t="str">
        <f>IF(LEN(A291)=0,"",INDEX('Smelter Look-up'!$C:$C,MATCH($A291,'Smelter Look-up'!$E:$E,0)))</f>
        <v/>
      </c>
      <c r="D291" s="222"/>
      <c r="E291" s="175" t="str">
        <f ca="1">IF(ISERROR($V291),"",OFFSET('Smelter Look-up'!$D$4,$V291-4,0)&amp;"")</f>
        <v/>
      </c>
      <c r="F291" s="175" t="str">
        <f ca="1">IF(ISERROR($V291),"",OFFSET('Smelter Look-up'!$E$4,$V291-4,0))</f>
        <v/>
      </c>
      <c r="G291" s="175" t="str">
        <f ca="1">IF(C291=$X$4,IF(ISERROR($V291),"Enter smelter details","RMI"),IF(ISERROR($V291),"",OFFSET('Smelter Look-up'!$F$4,$V291-4,0)))</f>
        <v/>
      </c>
      <c r="H291" s="176" t="str">
        <f ca="1">IF(ISERROR($V291),"",OFFSET('Smelter Look-up'!$G$4,$V291-4,0))</f>
        <v/>
      </c>
      <c r="I291" s="177" t="str">
        <f ca="1">IF(ISERROR($V291),"",OFFSET('Smelter Look-up'!$H$4,$V291-4,0))</f>
        <v/>
      </c>
      <c r="J291" s="177" t="str">
        <f ca="1">IF(ISERROR($V291),"",OFFSET('Smelter Look-up'!$I$4,$V291-4,0))</f>
        <v/>
      </c>
      <c r="K291" s="216"/>
      <c r="L291" s="216"/>
      <c r="M291" s="216"/>
      <c r="N291" s="216"/>
      <c r="O291" s="216"/>
      <c r="P291" s="178"/>
      <c r="Q291" s="217"/>
      <c r="R291" s="175" t="str">
        <f ca="1">IF(ISERROR($V291),"",OFFSET('Smelter Look-up'!$C$4,$V291-4,0)&amp;"")</f>
        <v/>
      </c>
      <c r="S291" s="174" t="str">
        <f t="shared" ca="1" si="39"/>
        <v/>
      </c>
      <c r="T291" s="174" t="str">
        <f ca="1">IF(B291="","",IF(ISERROR(MATCH($J291,SorP!$B$1:$B$6279,0)),"",INDIRECT("'SorP'!$A$"&amp;MATCH($S291&amp;$J291,SorP!C:C,0))))</f>
        <v/>
      </c>
      <c r="U291" s="194"/>
      <c r="V291" s="218" t="e">
        <f>IF(C291="",NA(),IF(OR(C291="Smelter not listed",C291="Smelter not yet identified"),MATCH($B291&amp;$D291,'Smelter Look-up'!$J:$J,0),MATCH($B291&amp;$C291,'Smelter Look-up'!$J:$J,0)))</f>
        <v>#N/A</v>
      </c>
      <c r="X291" s="219">
        <f t="shared" ca="1" si="40"/>
        <v>0</v>
      </c>
      <c r="AB291" s="220" t="str">
        <f t="shared" si="41"/>
        <v/>
      </c>
    </row>
    <row r="292" spans="1:28" s="219" customFormat="1" ht="20.25">
      <c r="A292" s="174"/>
      <c r="B292" s="175" t="str">
        <f>IF(LEN(A292)=0,"",INDEX('Smelter Look-up'!$A:$A,MATCH($A292,'Smelter Look-up'!$E:$E,0)))</f>
        <v/>
      </c>
      <c r="C292" s="179" t="str">
        <f>IF(LEN(A292)=0,"",INDEX('Smelter Look-up'!$C:$C,MATCH($A292,'Smelter Look-up'!$E:$E,0)))</f>
        <v/>
      </c>
      <c r="D292" s="222"/>
      <c r="E292" s="175" t="str">
        <f ca="1">IF(ISERROR($V292),"",OFFSET('Smelter Look-up'!$D$4,$V292-4,0)&amp;"")</f>
        <v/>
      </c>
      <c r="F292" s="175" t="str">
        <f ca="1">IF(ISERROR($V292),"",OFFSET('Smelter Look-up'!$E$4,$V292-4,0))</f>
        <v/>
      </c>
      <c r="G292" s="175" t="str">
        <f ca="1">IF(C292=$X$4,IF(ISERROR($V292),"Enter smelter details","RMI"),IF(ISERROR($V292),"",OFFSET('Smelter Look-up'!$F$4,$V292-4,0)))</f>
        <v/>
      </c>
      <c r="H292" s="176" t="str">
        <f ca="1">IF(ISERROR($V292),"",OFFSET('Smelter Look-up'!$G$4,$V292-4,0))</f>
        <v/>
      </c>
      <c r="I292" s="177" t="str">
        <f ca="1">IF(ISERROR($V292),"",OFFSET('Smelter Look-up'!$H$4,$V292-4,0))</f>
        <v/>
      </c>
      <c r="J292" s="177" t="str">
        <f ca="1">IF(ISERROR($V292),"",OFFSET('Smelter Look-up'!$I$4,$V292-4,0))</f>
        <v/>
      </c>
      <c r="K292" s="216"/>
      <c r="L292" s="216"/>
      <c r="M292" s="216"/>
      <c r="N292" s="216"/>
      <c r="O292" s="216"/>
      <c r="P292" s="178"/>
      <c r="Q292" s="217"/>
      <c r="R292" s="175" t="str">
        <f ca="1">IF(ISERROR($V292),"",OFFSET('Smelter Look-up'!$C$4,$V292-4,0)&amp;"")</f>
        <v/>
      </c>
      <c r="S292" s="174" t="str">
        <f t="shared" ca="1" si="39"/>
        <v/>
      </c>
      <c r="T292" s="174" t="str">
        <f ca="1">IF(B292="","",IF(ISERROR(MATCH($J292,SorP!$B$1:$B$6279,0)),"",INDIRECT("'SorP'!$A$"&amp;MATCH($S292&amp;$J292,SorP!C:C,0))))</f>
        <v/>
      </c>
      <c r="U292" s="194"/>
      <c r="V292" s="218" t="e">
        <f>IF(C292="",NA(),IF(OR(C292="Smelter not listed",C292="Smelter not yet identified"),MATCH($B292&amp;$D292,'Smelter Look-up'!$J:$J,0),MATCH($B292&amp;$C292,'Smelter Look-up'!$J:$J,0)))</f>
        <v>#N/A</v>
      </c>
      <c r="X292" s="219">
        <f t="shared" ca="1" si="40"/>
        <v>0</v>
      </c>
      <c r="AB292" s="220" t="str">
        <f t="shared" si="41"/>
        <v/>
      </c>
    </row>
    <row r="293" spans="1:28" s="219" customFormat="1" ht="20.25">
      <c r="A293" s="174"/>
      <c r="B293" s="175" t="str">
        <f>IF(LEN(A293)=0,"",INDEX('Smelter Look-up'!$A:$A,MATCH($A293,'Smelter Look-up'!$E:$E,0)))</f>
        <v/>
      </c>
      <c r="C293" s="179" t="str">
        <f>IF(LEN(A293)=0,"",INDEX('Smelter Look-up'!$C:$C,MATCH($A293,'Smelter Look-up'!$E:$E,0)))</f>
        <v/>
      </c>
      <c r="D293" s="222"/>
      <c r="E293" s="175" t="str">
        <f ca="1">IF(ISERROR($V293),"",OFFSET('Smelter Look-up'!$D$4,$V293-4,0)&amp;"")</f>
        <v/>
      </c>
      <c r="F293" s="175" t="str">
        <f ca="1">IF(ISERROR($V293),"",OFFSET('Smelter Look-up'!$E$4,$V293-4,0))</f>
        <v/>
      </c>
      <c r="G293" s="175" t="str">
        <f ca="1">IF(C293=$X$4,IF(ISERROR($V293),"Enter smelter details","RMI"),IF(ISERROR($V293),"",OFFSET('Smelter Look-up'!$F$4,$V293-4,0)))</f>
        <v/>
      </c>
      <c r="H293" s="176" t="str">
        <f ca="1">IF(ISERROR($V293),"",OFFSET('Smelter Look-up'!$G$4,$V293-4,0))</f>
        <v/>
      </c>
      <c r="I293" s="177" t="str">
        <f ca="1">IF(ISERROR($V293),"",OFFSET('Smelter Look-up'!$H$4,$V293-4,0))</f>
        <v/>
      </c>
      <c r="J293" s="177" t="str">
        <f ca="1">IF(ISERROR($V293),"",OFFSET('Smelter Look-up'!$I$4,$V293-4,0))</f>
        <v/>
      </c>
      <c r="K293" s="216"/>
      <c r="L293" s="216"/>
      <c r="M293" s="216"/>
      <c r="N293" s="216"/>
      <c r="O293" s="216"/>
      <c r="P293" s="178"/>
      <c r="Q293" s="217"/>
      <c r="R293" s="175" t="str">
        <f ca="1">IF(ISERROR($V293),"",OFFSET('Smelter Look-up'!$C$4,$V293-4,0)&amp;"")</f>
        <v/>
      </c>
      <c r="S293" s="174" t="str">
        <f t="shared" ca="1" si="39"/>
        <v/>
      </c>
      <c r="T293" s="174" t="str">
        <f ca="1">IF(B293="","",IF(ISERROR(MATCH($J293,SorP!$B$1:$B$6279,0)),"",INDIRECT("'SorP'!$A$"&amp;MATCH($S293&amp;$J293,SorP!C:C,0))))</f>
        <v/>
      </c>
      <c r="U293" s="194"/>
      <c r="V293" s="218" t="e">
        <f>IF(C293="",NA(),IF(OR(C293="Smelter not listed",C293="Smelter not yet identified"),MATCH($B293&amp;$D293,'Smelter Look-up'!$J:$J,0),MATCH($B293&amp;$C293,'Smelter Look-up'!$J:$J,0)))</f>
        <v>#N/A</v>
      </c>
      <c r="X293" s="219">
        <f t="shared" ca="1" si="40"/>
        <v>0</v>
      </c>
      <c r="AB293" s="220" t="str">
        <f t="shared" si="41"/>
        <v/>
      </c>
    </row>
    <row r="294" spans="1:28" s="219" customFormat="1" ht="20.25">
      <c r="A294" s="174"/>
      <c r="B294" s="175" t="str">
        <f>IF(LEN(A294)=0,"",INDEX('Smelter Look-up'!$A:$A,MATCH($A294,'Smelter Look-up'!$E:$E,0)))</f>
        <v/>
      </c>
      <c r="C294" s="179" t="str">
        <f>IF(LEN(A294)=0,"",INDEX('Smelter Look-up'!$C:$C,MATCH($A294,'Smelter Look-up'!$E:$E,0)))</f>
        <v/>
      </c>
      <c r="D294" s="222"/>
      <c r="E294" s="175" t="str">
        <f ca="1">IF(ISERROR($V294),"",OFFSET('Smelter Look-up'!$D$4,$V294-4,0)&amp;"")</f>
        <v/>
      </c>
      <c r="F294" s="175" t="str">
        <f ca="1">IF(ISERROR($V294),"",OFFSET('Smelter Look-up'!$E$4,$V294-4,0))</f>
        <v/>
      </c>
      <c r="G294" s="175" t="str">
        <f ca="1">IF(C294=$X$4,IF(ISERROR($V294),"Enter smelter details","RMI"),IF(ISERROR($V294),"",OFFSET('Smelter Look-up'!$F$4,$V294-4,0)))</f>
        <v/>
      </c>
      <c r="H294" s="176" t="str">
        <f ca="1">IF(ISERROR($V294),"",OFFSET('Smelter Look-up'!$G$4,$V294-4,0))</f>
        <v/>
      </c>
      <c r="I294" s="177" t="str">
        <f ca="1">IF(ISERROR($V294),"",OFFSET('Smelter Look-up'!$H$4,$V294-4,0))</f>
        <v/>
      </c>
      <c r="J294" s="177" t="str">
        <f ca="1">IF(ISERROR($V294),"",OFFSET('Smelter Look-up'!$I$4,$V294-4,0))</f>
        <v/>
      </c>
      <c r="K294" s="216"/>
      <c r="L294" s="216"/>
      <c r="M294" s="216"/>
      <c r="N294" s="216"/>
      <c r="O294" s="216"/>
      <c r="P294" s="178"/>
      <c r="Q294" s="217"/>
      <c r="R294" s="175" t="str">
        <f ca="1">IF(ISERROR($V294),"",OFFSET('Smelter Look-up'!$C$4,$V294-4,0)&amp;"")</f>
        <v/>
      </c>
      <c r="S294" s="174" t="str">
        <f t="shared" ref="S294:S324" ca="1" si="42">IF(B294="","",IF(ISERROR(MATCH($E294,CL,0)),"Unknown",INDIRECT("'C'!$A$"&amp;MATCH($E294,CL,0)+1)))</f>
        <v/>
      </c>
      <c r="T294" s="174" t="str">
        <f ca="1">IF(B294="","",IF(ISERROR(MATCH($J294,SorP!$B$1:$B$6279,0)),"",INDIRECT("'SorP'!$A$"&amp;MATCH($S294&amp;$J294,SorP!C:C,0))))</f>
        <v/>
      </c>
      <c r="U294" s="194"/>
      <c r="V294" s="218" t="e">
        <f>IF(C294="",NA(),IF(OR(C294="Smelter not listed",C294="Smelter not yet identified"),MATCH($B294&amp;$D294,'Smelter Look-up'!$J:$J,0),MATCH($B294&amp;$C294,'Smelter Look-up'!$J:$J,0)))</f>
        <v>#N/A</v>
      </c>
      <c r="X294" s="219">
        <f t="shared" ref="X294:X324" ca="1" si="43">IF(AND(C294="Smelter not listed",OR(LEN(D294)=0,LEN(E294)=0)),1,0)</f>
        <v>0</v>
      </c>
      <c r="AB294" s="220" t="str">
        <f t="shared" ref="AB294:AB324" si="44">B294&amp;C294</f>
        <v/>
      </c>
    </row>
    <row r="295" spans="1:28" s="219" customFormat="1" ht="20.25">
      <c r="A295" s="174"/>
      <c r="B295" s="175" t="str">
        <f>IF(LEN(A295)=0,"",INDEX('Smelter Look-up'!$A:$A,MATCH($A295,'Smelter Look-up'!$E:$E,0)))</f>
        <v/>
      </c>
      <c r="C295" s="179" t="str">
        <f>IF(LEN(A295)=0,"",INDEX('Smelter Look-up'!$C:$C,MATCH($A295,'Smelter Look-up'!$E:$E,0)))</f>
        <v/>
      </c>
      <c r="D295" s="222"/>
      <c r="E295" s="175" t="str">
        <f ca="1">IF(ISERROR($V295),"",OFFSET('Smelter Look-up'!$D$4,$V295-4,0)&amp;"")</f>
        <v/>
      </c>
      <c r="F295" s="175" t="str">
        <f ca="1">IF(ISERROR($V295),"",OFFSET('Smelter Look-up'!$E$4,$V295-4,0))</f>
        <v/>
      </c>
      <c r="G295" s="175" t="str">
        <f ca="1">IF(C295=$X$4,IF(ISERROR($V295),"Enter smelter details","RMI"),IF(ISERROR($V295),"",OFFSET('Smelter Look-up'!$F$4,$V295-4,0)))</f>
        <v/>
      </c>
      <c r="H295" s="176" t="str">
        <f ca="1">IF(ISERROR($V295),"",OFFSET('Smelter Look-up'!$G$4,$V295-4,0))</f>
        <v/>
      </c>
      <c r="I295" s="177" t="str">
        <f ca="1">IF(ISERROR($V295),"",OFFSET('Smelter Look-up'!$H$4,$V295-4,0))</f>
        <v/>
      </c>
      <c r="J295" s="177" t="str">
        <f ca="1">IF(ISERROR($V295),"",OFFSET('Smelter Look-up'!$I$4,$V295-4,0))</f>
        <v/>
      </c>
      <c r="K295" s="216"/>
      <c r="L295" s="216"/>
      <c r="M295" s="216"/>
      <c r="N295" s="216"/>
      <c r="O295" s="216"/>
      <c r="P295" s="178"/>
      <c r="Q295" s="217"/>
      <c r="R295" s="175" t="str">
        <f ca="1">IF(ISERROR($V295),"",OFFSET('Smelter Look-up'!$C$4,$V295-4,0)&amp;"")</f>
        <v/>
      </c>
      <c r="S295" s="174" t="str">
        <f t="shared" ca="1" si="42"/>
        <v/>
      </c>
      <c r="T295" s="174" t="str">
        <f ca="1">IF(B295="","",IF(ISERROR(MATCH($J295,SorP!$B$1:$B$6279,0)),"",INDIRECT("'SorP'!$A$"&amp;MATCH($S295&amp;$J295,SorP!C:C,0))))</f>
        <v/>
      </c>
      <c r="U295" s="194"/>
      <c r="V295" s="218" t="e">
        <f>IF(C295="",NA(),IF(OR(C295="Smelter not listed",C295="Smelter not yet identified"),MATCH($B295&amp;$D295,'Smelter Look-up'!$J:$J,0),MATCH($B295&amp;$C295,'Smelter Look-up'!$J:$J,0)))</f>
        <v>#N/A</v>
      </c>
      <c r="X295" s="219">
        <f t="shared" ca="1" si="43"/>
        <v>0</v>
      </c>
      <c r="AB295" s="220" t="str">
        <f t="shared" si="44"/>
        <v/>
      </c>
    </row>
    <row r="296" spans="1:28" s="219" customFormat="1" ht="20.25">
      <c r="A296" s="174"/>
      <c r="B296" s="175" t="str">
        <f>IF(LEN(A296)=0,"",INDEX('Smelter Look-up'!$A:$A,MATCH($A296,'Smelter Look-up'!$E:$E,0)))</f>
        <v/>
      </c>
      <c r="C296" s="179" t="str">
        <f>IF(LEN(A296)=0,"",INDEX('Smelter Look-up'!$C:$C,MATCH($A296,'Smelter Look-up'!$E:$E,0)))</f>
        <v/>
      </c>
      <c r="D296" s="222"/>
      <c r="E296" s="175" t="str">
        <f ca="1">IF(ISERROR($V296),"",OFFSET('Smelter Look-up'!$D$4,$V296-4,0)&amp;"")</f>
        <v/>
      </c>
      <c r="F296" s="175" t="str">
        <f ca="1">IF(ISERROR($V296),"",OFFSET('Smelter Look-up'!$E$4,$V296-4,0))</f>
        <v/>
      </c>
      <c r="G296" s="175" t="str">
        <f ca="1">IF(C296=$X$4,IF(ISERROR($V296),"Enter smelter details","RMI"),IF(ISERROR($V296),"",OFFSET('Smelter Look-up'!$F$4,$V296-4,0)))</f>
        <v/>
      </c>
      <c r="H296" s="176" t="str">
        <f ca="1">IF(ISERROR($V296),"",OFFSET('Smelter Look-up'!$G$4,$V296-4,0))</f>
        <v/>
      </c>
      <c r="I296" s="177" t="str">
        <f ca="1">IF(ISERROR($V296),"",OFFSET('Smelter Look-up'!$H$4,$V296-4,0))</f>
        <v/>
      </c>
      <c r="J296" s="177" t="str">
        <f ca="1">IF(ISERROR($V296),"",OFFSET('Smelter Look-up'!$I$4,$V296-4,0))</f>
        <v/>
      </c>
      <c r="K296" s="216"/>
      <c r="L296" s="216"/>
      <c r="M296" s="216"/>
      <c r="N296" s="216"/>
      <c r="O296" s="216"/>
      <c r="P296" s="178"/>
      <c r="Q296" s="217"/>
      <c r="R296" s="175" t="str">
        <f ca="1">IF(ISERROR($V296),"",OFFSET('Smelter Look-up'!$C$4,$V296-4,0)&amp;"")</f>
        <v/>
      </c>
      <c r="S296" s="174" t="str">
        <f t="shared" ca="1" si="42"/>
        <v/>
      </c>
      <c r="T296" s="174" t="str">
        <f ca="1">IF(B296="","",IF(ISERROR(MATCH($J296,SorP!$B$1:$B$6279,0)),"",INDIRECT("'SorP'!$A$"&amp;MATCH($S296&amp;$J296,SorP!C:C,0))))</f>
        <v/>
      </c>
      <c r="U296" s="194"/>
      <c r="V296" s="218" t="e">
        <f>IF(C296="",NA(),IF(OR(C296="Smelter not listed",C296="Smelter not yet identified"),MATCH($B296&amp;$D296,'Smelter Look-up'!$J:$J,0),MATCH($B296&amp;$C296,'Smelter Look-up'!$J:$J,0)))</f>
        <v>#N/A</v>
      </c>
      <c r="X296" s="219">
        <f t="shared" ca="1" si="43"/>
        <v>0</v>
      </c>
      <c r="AB296" s="220" t="str">
        <f t="shared" si="44"/>
        <v/>
      </c>
    </row>
    <row r="297" spans="1:28" s="219" customFormat="1" ht="20.25">
      <c r="A297" s="174"/>
      <c r="B297" s="175" t="str">
        <f>IF(LEN(A297)=0,"",INDEX('Smelter Look-up'!$A:$A,MATCH($A297,'Smelter Look-up'!$E:$E,0)))</f>
        <v/>
      </c>
      <c r="C297" s="179" t="str">
        <f>IF(LEN(A297)=0,"",INDEX('Smelter Look-up'!$C:$C,MATCH($A297,'Smelter Look-up'!$E:$E,0)))</f>
        <v/>
      </c>
      <c r="D297" s="222"/>
      <c r="E297" s="175" t="str">
        <f ca="1">IF(ISERROR($V297),"",OFFSET('Smelter Look-up'!$D$4,$V297-4,0)&amp;"")</f>
        <v/>
      </c>
      <c r="F297" s="175" t="str">
        <f ca="1">IF(ISERROR($V297),"",OFFSET('Smelter Look-up'!$E$4,$V297-4,0))</f>
        <v/>
      </c>
      <c r="G297" s="175" t="str">
        <f ca="1">IF(C297=$X$4,IF(ISERROR($V297),"Enter smelter details","RMI"),IF(ISERROR($V297),"",OFFSET('Smelter Look-up'!$F$4,$V297-4,0)))</f>
        <v/>
      </c>
      <c r="H297" s="176" t="str">
        <f ca="1">IF(ISERROR($V297),"",OFFSET('Smelter Look-up'!$G$4,$V297-4,0))</f>
        <v/>
      </c>
      <c r="I297" s="177" t="str">
        <f ca="1">IF(ISERROR($V297),"",OFFSET('Smelter Look-up'!$H$4,$V297-4,0))</f>
        <v/>
      </c>
      <c r="J297" s="177" t="str">
        <f ca="1">IF(ISERROR($V297),"",OFFSET('Smelter Look-up'!$I$4,$V297-4,0))</f>
        <v/>
      </c>
      <c r="K297" s="216"/>
      <c r="L297" s="216"/>
      <c r="M297" s="216"/>
      <c r="N297" s="216"/>
      <c r="O297" s="216"/>
      <c r="P297" s="178"/>
      <c r="Q297" s="217"/>
      <c r="R297" s="175" t="str">
        <f ca="1">IF(ISERROR($V297),"",OFFSET('Smelter Look-up'!$C$4,$V297-4,0)&amp;"")</f>
        <v/>
      </c>
      <c r="S297" s="174" t="str">
        <f t="shared" ca="1" si="42"/>
        <v/>
      </c>
      <c r="T297" s="174" t="str">
        <f ca="1">IF(B297="","",IF(ISERROR(MATCH($J297,SorP!$B$1:$B$6279,0)),"",INDIRECT("'SorP'!$A$"&amp;MATCH($S297&amp;$J297,SorP!C:C,0))))</f>
        <v/>
      </c>
      <c r="U297" s="194"/>
      <c r="V297" s="218" t="e">
        <f>IF(C297="",NA(),IF(OR(C297="Smelter not listed",C297="Smelter not yet identified"),MATCH($B297&amp;$D297,'Smelter Look-up'!$J:$J,0),MATCH($B297&amp;$C297,'Smelter Look-up'!$J:$J,0)))</f>
        <v>#N/A</v>
      </c>
      <c r="X297" s="219">
        <f t="shared" ca="1" si="43"/>
        <v>0</v>
      </c>
      <c r="AB297" s="220" t="str">
        <f t="shared" si="44"/>
        <v/>
      </c>
    </row>
    <row r="298" spans="1:28" s="219" customFormat="1" ht="20.25">
      <c r="A298" s="174"/>
      <c r="B298" s="175" t="str">
        <f>IF(LEN(A298)=0,"",INDEX('Smelter Look-up'!$A:$A,MATCH($A298,'Smelter Look-up'!$E:$E,0)))</f>
        <v/>
      </c>
      <c r="C298" s="179" t="str">
        <f>IF(LEN(A298)=0,"",INDEX('Smelter Look-up'!$C:$C,MATCH($A298,'Smelter Look-up'!$E:$E,0)))</f>
        <v/>
      </c>
      <c r="D298" s="222"/>
      <c r="E298" s="175" t="str">
        <f ca="1">IF(ISERROR($V298),"",OFFSET('Smelter Look-up'!$D$4,$V298-4,0)&amp;"")</f>
        <v/>
      </c>
      <c r="F298" s="175" t="str">
        <f ca="1">IF(ISERROR($V298),"",OFFSET('Smelter Look-up'!$E$4,$V298-4,0))</f>
        <v/>
      </c>
      <c r="G298" s="175" t="str">
        <f ca="1">IF(C298=$X$4,IF(ISERROR($V298),"Enter smelter details","RMI"),IF(ISERROR($V298),"",OFFSET('Smelter Look-up'!$F$4,$V298-4,0)))</f>
        <v/>
      </c>
      <c r="H298" s="176" t="str">
        <f ca="1">IF(ISERROR($V298),"",OFFSET('Smelter Look-up'!$G$4,$V298-4,0))</f>
        <v/>
      </c>
      <c r="I298" s="177" t="str">
        <f ca="1">IF(ISERROR($V298),"",OFFSET('Smelter Look-up'!$H$4,$V298-4,0))</f>
        <v/>
      </c>
      <c r="J298" s="177" t="str">
        <f ca="1">IF(ISERROR($V298),"",OFFSET('Smelter Look-up'!$I$4,$V298-4,0))</f>
        <v/>
      </c>
      <c r="K298" s="216"/>
      <c r="L298" s="216"/>
      <c r="M298" s="216"/>
      <c r="N298" s="216"/>
      <c r="O298" s="216"/>
      <c r="P298" s="178"/>
      <c r="Q298" s="217"/>
      <c r="R298" s="175" t="str">
        <f ca="1">IF(ISERROR($V298),"",OFFSET('Smelter Look-up'!$C$4,$V298-4,0)&amp;"")</f>
        <v/>
      </c>
      <c r="S298" s="174" t="str">
        <f t="shared" ca="1" si="42"/>
        <v/>
      </c>
      <c r="T298" s="174" t="str">
        <f ca="1">IF(B298="","",IF(ISERROR(MATCH($J298,SorP!$B$1:$B$6279,0)),"",INDIRECT("'SorP'!$A$"&amp;MATCH($S298&amp;$J298,SorP!C:C,0))))</f>
        <v/>
      </c>
      <c r="U298" s="194"/>
      <c r="V298" s="218" t="e">
        <f>IF(C298="",NA(),IF(OR(C298="Smelter not listed",C298="Smelter not yet identified"),MATCH($B298&amp;$D298,'Smelter Look-up'!$J:$J,0),MATCH($B298&amp;$C298,'Smelter Look-up'!$J:$J,0)))</f>
        <v>#N/A</v>
      </c>
      <c r="X298" s="219">
        <f t="shared" ca="1" si="43"/>
        <v>0</v>
      </c>
      <c r="AB298" s="220" t="str">
        <f t="shared" si="44"/>
        <v/>
      </c>
    </row>
    <row r="299" spans="1:28" s="219" customFormat="1" ht="20.25">
      <c r="A299" s="174"/>
      <c r="B299" s="175" t="str">
        <f>IF(LEN(A299)=0,"",INDEX('Smelter Look-up'!$A:$A,MATCH($A299,'Smelter Look-up'!$E:$E,0)))</f>
        <v/>
      </c>
      <c r="C299" s="179" t="str">
        <f>IF(LEN(A299)=0,"",INDEX('Smelter Look-up'!$C:$C,MATCH($A299,'Smelter Look-up'!$E:$E,0)))</f>
        <v/>
      </c>
      <c r="D299" s="222"/>
      <c r="E299" s="175" t="str">
        <f ca="1">IF(ISERROR($V299),"",OFFSET('Smelter Look-up'!$D$4,$V299-4,0)&amp;"")</f>
        <v/>
      </c>
      <c r="F299" s="175" t="str">
        <f ca="1">IF(ISERROR($V299),"",OFFSET('Smelter Look-up'!$E$4,$V299-4,0))</f>
        <v/>
      </c>
      <c r="G299" s="175" t="str">
        <f ca="1">IF(C299=$X$4,IF(ISERROR($V299),"Enter smelter details","RMI"),IF(ISERROR($V299),"",OFFSET('Smelter Look-up'!$F$4,$V299-4,0)))</f>
        <v/>
      </c>
      <c r="H299" s="176" t="str">
        <f ca="1">IF(ISERROR($V299),"",OFFSET('Smelter Look-up'!$G$4,$V299-4,0))</f>
        <v/>
      </c>
      <c r="I299" s="177" t="str">
        <f ca="1">IF(ISERROR($V299),"",OFFSET('Smelter Look-up'!$H$4,$V299-4,0))</f>
        <v/>
      </c>
      <c r="J299" s="177" t="str">
        <f ca="1">IF(ISERROR($V299),"",OFFSET('Smelter Look-up'!$I$4,$V299-4,0))</f>
        <v/>
      </c>
      <c r="K299" s="216"/>
      <c r="L299" s="216"/>
      <c r="M299" s="216"/>
      <c r="N299" s="216"/>
      <c r="O299" s="216"/>
      <c r="P299" s="178"/>
      <c r="Q299" s="217"/>
      <c r="R299" s="175" t="str">
        <f ca="1">IF(ISERROR($V299),"",OFFSET('Smelter Look-up'!$C$4,$V299-4,0)&amp;"")</f>
        <v/>
      </c>
      <c r="S299" s="174" t="str">
        <f t="shared" ca="1" si="42"/>
        <v/>
      </c>
      <c r="T299" s="174" t="str">
        <f ca="1">IF(B299="","",IF(ISERROR(MATCH($J299,SorP!$B$1:$B$6279,0)),"",INDIRECT("'SorP'!$A$"&amp;MATCH($S299&amp;$J299,SorP!C:C,0))))</f>
        <v/>
      </c>
      <c r="U299" s="194"/>
      <c r="V299" s="218" t="e">
        <f>IF(C299="",NA(),IF(OR(C299="Smelter not listed",C299="Smelter not yet identified"),MATCH($B299&amp;$D299,'Smelter Look-up'!$J:$J,0),MATCH($B299&amp;$C299,'Smelter Look-up'!$J:$J,0)))</f>
        <v>#N/A</v>
      </c>
      <c r="X299" s="219">
        <f t="shared" ca="1" si="43"/>
        <v>0</v>
      </c>
      <c r="AB299" s="220" t="str">
        <f t="shared" si="44"/>
        <v/>
      </c>
    </row>
    <row r="300" spans="1:28" s="219" customFormat="1" ht="20.25">
      <c r="A300" s="174"/>
      <c r="B300" s="175" t="str">
        <f>IF(LEN(A300)=0,"",INDEX('Smelter Look-up'!$A:$A,MATCH($A300,'Smelter Look-up'!$E:$E,0)))</f>
        <v/>
      </c>
      <c r="C300" s="179" t="str">
        <f>IF(LEN(A300)=0,"",INDEX('Smelter Look-up'!$C:$C,MATCH($A300,'Smelter Look-up'!$E:$E,0)))</f>
        <v/>
      </c>
      <c r="D300" s="222"/>
      <c r="E300" s="175" t="str">
        <f ca="1">IF(ISERROR($V300),"",OFFSET('Smelter Look-up'!$D$4,$V300-4,0)&amp;"")</f>
        <v/>
      </c>
      <c r="F300" s="175" t="str">
        <f ca="1">IF(ISERROR($V300),"",OFFSET('Smelter Look-up'!$E$4,$V300-4,0))</f>
        <v/>
      </c>
      <c r="G300" s="175" t="str">
        <f ca="1">IF(C300=$X$4,IF(ISERROR($V300),"Enter smelter details","RMI"),IF(ISERROR($V300),"",OFFSET('Smelter Look-up'!$F$4,$V300-4,0)))</f>
        <v/>
      </c>
      <c r="H300" s="176" t="str">
        <f ca="1">IF(ISERROR($V300),"",OFFSET('Smelter Look-up'!$G$4,$V300-4,0))</f>
        <v/>
      </c>
      <c r="I300" s="177" t="str">
        <f ca="1">IF(ISERROR($V300),"",OFFSET('Smelter Look-up'!$H$4,$V300-4,0))</f>
        <v/>
      </c>
      <c r="J300" s="177" t="str">
        <f ca="1">IF(ISERROR($V300),"",OFFSET('Smelter Look-up'!$I$4,$V300-4,0))</f>
        <v/>
      </c>
      <c r="K300" s="216"/>
      <c r="L300" s="216"/>
      <c r="M300" s="216"/>
      <c r="N300" s="216"/>
      <c r="O300" s="216"/>
      <c r="P300" s="178"/>
      <c r="Q300" s="217"/>
      <c r="R300" s="175" t="str">
        <f ca="1">IF(ISERROR($V300),"",OFFSET('Smelter Look-up'!$C$4,$V300-4,0)&amp;"")</f>
        <v/>
      </c>
      <c r="S300" s="174" t="str">
        <f t="shared" ca="1" si="42"/>
        <v/>
      </c>
      <c r="T300" s="174" t="str">
        <f ca="1">IF(B300="","",IF(ISERROR(MATCH($J300,SorP!$B$1:$B$6279,0)),"",INDIRECT("'SorP'!$A$"&amp;MATCH($S300&amp;$J300,SorP!C:C,0))))</f>
        <v/>
      </c>
      <c r="U300" s="194"/>
      <c r="V300" s="218" t="e">
        <f>IF(C300="",NA(),IF(OR(C300="Smelter not listed",C300="Smelter not yet identified"),MATCH($B300&amp;$D300,'Smelter Look-up'!$J:$J,0),MATCH($B300&amp;$C300,'Smelter Look-up'!$J:$J,0)))</f>
        <v>#N/A</v>
      </c>
      <c r="X300" s="219">
        <f t="shared" ca="1" si="43"/>
        <v>0</v>
      </c>
      <c r="AB300" s="220" t="str">
        <f t="shared" si="44"/>
        <v/>
      </c>
    </row>
    <row r="301" spans="1:28" s="219" customFormat="1" ht="20.25">
      <c r="A301" s="174"/>
      <c r="B301" s="175" t="str">
        <f>IF(LEN(A301)=0,"",INDEX('Smelter Look-up'!$A:$A,MATCH($A301,'Smelter Look-up'!$E:$E,0)))</f>
        <v/>
      </c>
      <c r="C301" s="179" t="str">
        <f>IF(LEN(A301)=0,"",INDEX('Smelter Look-up'!$C:$C,MATCH($A301,'Smelter Look-up'!$E:$E,0)))</f>
        <v/>
      </c>
      <c r="D301" s="222"/>
      <c r="E301" s="175" t="str">
        <f ca="1">IF(ISERROR($V301),"",OFFSET('Smelter Look-up'!$D$4,$V301-4,0)&amp;"")</f>
        <v/>
      </c>
      <c r="F301" s="175" t="str">
        <f ca="1">IF(ISERROR($V301),"",OFFSET('Smelter Look-up'!$E$4,$V301-4,0))</f>
        <v/>
      </c>
      <c r="G301" s="175" t="str">
        <f ca="1">IF(C301=$X$4,IF(ISERROR($V301),"Enter smelter details","RMI"),IF(ISERROR($V301),"",OFFSET('Smelter Look-up'!$F$4,$V301-4,0)))</f>
        <v/>
      </c>
      <c r="H301" s="176" t="str">
        <f ca="1">IF(ISERROR($V301),"",OFFSET('Smelter Look-up'!$G$4,$V301-4,0))</f>
        <v/>
      </c>
      <c r="I301" s="177" t="str">
        <f ca="1">IF(ISERROR($V301),"",OFFSET('Smelter Look-up'!$H$4,$V301-4,0))</f>
        <v/>
      </c>
      <c r="J301" s="177" t="str">
        <f ca="1">IF(ISERROR($V301),"",OFFSET('Smelter Look-up'!$I$4,$V301-4,0))</f>
        <v/>
      </c>
      <c r="K301" s="216"/>
      <c r="L301" s="216"/>
      <c r="M301" s="216"/>
      <c r="N301" s="216"/>
      <c r="O301" s="216"/>
      <c r="P301" s="178"/>
      <c r="Q301" s="217"/>
      <c r="R301" s="175" t="str">
        <f ca="1">IF(ISERROR($V301),"",OFFSET('Smelter Look-up'!$C$4,$V301-4,0)&amp;"")</f>
        <v/>
      </c>
      <c r="S301" s="174" t="str">
        <f t="shared" ca="1" si="42"/>
        <v/>
      </c>
      <c r="T301" s="174" t="str">
        <f ca="1">IF(B301="","",IF(ISERROR(MATCH($J301,SorP!$B$1:$B$6279,0)),"",INDIRECT("'SorP'!$A$"&amp;MATCH($S301&amp;$J301,SorP!C:C,0))))</f>
        <v/>
      </c>
      <c r="U301" s="194"/>
      <c r="V301" s="218" t="e">
        <f>IF(C301="",NA(),IF(OR(C301="Smelter not listed",C301="Smelter not yet identified"),MATCH($B301&amp;$D301,'Smelter Look-up'!$J:$J,0),MATCH($B301&amp;$C301,'Smelter Look-up'!$J:$J,0)))</f>
        <v>#N/A</v>
      </c>
      <c r="X301" s="219">
        <f t="shared" ca="1" si="43"/>
        <v>0</v>
      </c>
      <c r="AB301" s="220" t="str">
        <f t="shared" si="44"/>
        <v/>
      </c>
    </row>
    <row r="302" spans="1:28" s="219" customFormat="1" ht="20.25">
      <c r="A302" s="174"/>
      <c r="B302" s="175" t="str">
        <f>IF(LEN(A302)=0,"",INDEX('Smelter Look-up'!$A:$A,MATCH($A302,'Smelter Look-up'!$E:$E,0)))</f>
        <v/>
      </c>
      <c r="C302" s="179" t="str">
        <f>IF(LEN(A302)=0,"",INDEX('Smelter Look-up'!$C:$C,MATCH($A302,'Smelter Look-up'!$E:$E,0)))</f>
        <v/>
      </c>
      <c r="D302" s="222"/>
      <c r="E302" s="175" t="str">
        <f ca="1">IF(ISERROR($V302),"",OFFSET('Smelter Look-up'!$D$4,$V302-4,0)&amp;"")</f>
        <v/>
      </c>
      <c r="F302" s="175" t="str">
        <f ca="1">IF(ISERROR($V302),"",OFFSET('Smelter Look-up'!$E$4,$V302-4,0))</f>
        <v/>
      </c>
      <c r="G302" s="175" t="str">
        <f ca="1">IF(C302=$X$4,IF(ISERROR($V302),"Enter smelter details","RMI"),IF(ISERROR($V302),"",OFFSET('Smelter Look-up'!$F$4,$V302-4,0)))</f>
        <v/>
      </c>
      <c r="H302" s="176" t="str">
        <f ca="1">IF(ISERROR($V302),"",OFFSET('Smelter Look-up'!$G$4,$V302-4,0))</f>
        <v/>
      </c>
      <c r="I302" s="177" t="str">
        <f ca="1">IF(ISERROR($V302),"",OFFSET('Smelter Look-up'!$H$4,$V302-4,0))</f>
        <v/>
      </c>
      <c r="J302" s="177" t="str">
        <f ca="1">IF(ISERROR($V302),"",OFFSET('Smelter Look-up'!$I$4,$V302-4,0))</f>
        <v/>
      </c>
      <c r="K302" s="216"/>
      <c r="L302" s="216"/>
      <c r="M302" s="216"/>
      <c r="N302" s="216"/>
      <c r="O302" s="216"/>
      <c r="P302" s="178"/>
      <c r="Q302" s="217"/>
      <c r="R302" s="175" t="str">
        <f ca="1">IF(ISERROR($V302),"",OFFSET('Smelter Look-up'!$C$4,$V302-4,0)&amp;"")</f>
        <v/>
      </c>
      <c r="S302" s="174" t="str">
        <f t="shared" ca="1" si="42"/>
        <v/>
      </c>
      <c r="T302" s="174" t="str">
        <f ca="1">IF(B302="","",IF(ISERROR(MATCH($J302,SorP!$B$1:$B$6279,0)),"",INDIRECT("'SorP'!$A$"&amp;MATCH($S302&amp;$J302,SorP!C:C,0))))</f>
        <v/>
      </c>
      <c r="U302" s="194"/>
      <c r="V302" s="218" t="e">
        <f>IF(C302="",NA(),IF(OR(C302="Smelter not listed",C302="Smelter not yet identified"),MATCH($B302&amp;$D302,'Smelter Look-up'!$J:$J,0),MATCH($B302&amp;$C302,'Smelter Look-up'!$J:$J,0)))</f>
        <v>#N/A</v>
      </c>
      <c r="X302" s="219">
        <f t="shared" ca="1" si="43"/>
        <v>0</v>
      </c>
      <c r="AB302" s="220" t="str">
        <f t="shared" si="44"/>
        <v/>
      </c>
    </row>
    <row r="303" spans="1:28" s="219" customFormat="1" ht="20.25">
      <c r="A303" s="174"/>
      <c r="B303" s="175" t="str">
        <f>IF(LEN(A303)=0,"",INDEX('Smelter Look-up'!$A:$A,MATCH($A303,'Smelter Look-up'!$E:$E,0)))</f>
        <v/>
      </c>
      <c r="C303" s="179" t="str">
        <f>IF(LEN(A303)=0,"",INDEX('Smelter Look-up'!$C:$C,MATCH($A303,'Smelter Look-up'!$E:$E,0)))</f>
        <v/>
      </c>
      <c r="D303" s="222"/>
      <c r="E303" s="175" t="str">
        <f ca="1">IF(ISERROR($V303),"",OFFSET('Smelter Look-up'!$D$4,$V303-4,0)&amp;"")</f>
        <v/>
      </c>
      <c r="F303" s="175" t="str">
        <f ca="1">IF(ISERROR($V303),"",OFFSET('Smelter Look-up'!$E$4,$V303-4,0))</f>
        <v/>
      </c>
      <c r="G303" s="175" t="str">
        <f ca="1">IF(C303=$X$4,IF(ISERROR($V303),"Enter smelter details","RMI"),IF(ISERROR($V303),"",OFFSET('Smelter Look-up'!$F$4,$V303-4,0)))</f>
        <v/>
      </c>
      <c r="H303" s="176" t="str">
        <f ca="1">IF(ISERROR($V303),"",OFFSET('Smelter Look-up'!$G$4,$V303-4,0))</f>
        <v/>
      </c>
      <c r="I303" s="177" t="str">
        <f ca="1">IF(ISERROR($V303),"",OFFSET('Smelter Look-up'!$H$4,$V303-4,0))</f>
        <v/>
      </c>
      <c r="J303" s="177" t="str">
        <f ca="1">IF(ISERROR($V303),"",OFFSET('Smelter Look-up'!$I$4,$V303-4,0))</f>
        <v/>
      </c>
      <c r="K303" s="216"/>
      <c r="L303" s="216"/>
      <c r="M303" s="216"/>
      <c r="N303" s="216"/>
      <c r="O303" s="216"/>
      <c r="P303" s="178"/>
      <c r="Q303" s="217"/>
      <c r="R303" s="175" t="str">
        <f ca="1">IF(ISERROR($V303),"",OFFSET('Smelter Look-up'!$C$4,$V303-4,0)&amp;"")</f>
        <v/>
      </c>
      <c r="S303" s="174" t="str">
        <f t="shared" ca="1" si="42"/>
        <v/>
      </c>
      <c r="T303" s="174" t="str">
        <f ca="1">IF(B303="","",IF(ISERROR(MATCH($J303,SorP!$B$1:$B$6279,0)),"",INDIRECT("'SorP'!$A$"&amp;MATCH($S303&amp;$J303,SorP!C:C,0))))</f>
        <v/>
      </c>
      <c r="U303" s="194"/>
      <c r="V303" s="218" t="e">
        <f>IF(C303="",NA(),IF(OR(C303="Smelter not listed",C303="Smelter not yet identified"),MATCH($B303&amp;$D303,'Smelter Look-up'!$J:$J,0),MATCH($B303&amp;$C303,'Smelter Look-up'!$J:$J,0)))</f>
        <v>#N/A</v>
      </c>
      <c r="X303" s="219">
        <f t="shared" ca="1" si="43"/>
        <v>0</v>
      </c>
      <c r="AB303" s="220" t="str">
        <f t="shared" si="44"/>
        <v/>
      </c>
    </row>
    <row r="304" spans="1:28" s="219" customFormat="1" ht="20.25">
      <c r="A304" s="174"/>
      <c r="B304" s="175" t="str">
        <f>IF(LEN(A304)=0,"",INDEX('Smelter Look-up'!$A:$A,MATCH($A304,'Smelter Look-up'!$E:$E,0)))</f>
        <v/>
      </c>
      <c r="C304" s="179" t="str">
        <f>IF(LEN(A304)=0,"",INDEX('Smelter Look-up'!$C:$C,MATCH($A304,'Smelter Look-up'!$E:$E,0)))</f>
        <v/>
      </c>
      <c r="D304" s="222"/>
      <c r="E304" s="175" t="str">
        <f ca="1">IF(ISERROR($V304),"",OFFSET('Smelter Look-up'!$D$4,$V304-4,0)&amp;"")</f>
        <v/>
      </c>
      <c r="F304" s="175" t="str">
        <f ca="1">IF(ISERROR($V304),"",OFFSET('Smelter Look-up'!$E$4,$V304-4,0))</f>
        <v/>
      </c>
      <c r="G304" s="175" t="str">
        <f ca="1">IF(C304=$X$4,IF(ISERROR($V304),"Enter smelter details","RMI"),IF(ISERROR($V304),"",OFFSET('Smelter Look-up'!$F$4,$V304-4,0)))</f>
        <v/>
      </c>
      <c r="H304" s="176" t="str">
        <f ca="1">IF(ISERROR($V304),"",OFFSET('Smelter Look-up'!$G$4,$V304-4,0))</f>
        <v/>
      </c>
      <c r="I304" s="177" t="str">
        <f ca="1">IF(ISERROR($V304),"",OFFSET('Smelter Look-up'!$H$4,$V304-4,0))</f>
        <v/>
      </c>
      <c r="J304" s="177" t="str">
        <f ca="1">IF(ISERROR($V304),"",OFFSET('Smelter Look-up'!$I$4,$V304-4,0))</f>
        <v/>
      </c>
      <c r="K304" s="216"/>
      <c r="L304" s="216"/>
      <c r="M304" s="216"/>
      <c r="N304" s="216"/>
      <c r="O304" s="216"/>
      <c r="P304" s="178"/>
      <c r="Q304" s="217"/>
      <c r="R304" s="175" t="str">
        <f ca="1">IF(ISERROR($V304),"",OFFSET('Smelter Look-up'!$C$4,$V304-4,0)&amp;"")</f>
        <v/>
      </c>
      <c r="S304" s="174" t="str">
        <f t="shared" ca="1" si="42"/>
        <v/>
      </c>
      <c r="T304" s="174" t="str">
        <f ca="1">IF(B304="","",IF(ISERROR(MATCH($J304,SorP!$B$1:$B$6279,0)),"",INDIRECT("'SorP'!$A$"&amp;MATCH($S304&amp;$J304,SorP!C:C,0))))</f>
        <v/>
      </c>
      <c r="U304" s="194"/>
      <c r="V304" s="218" t="e">
        <f>IF(C304="",NA(),IF(OR(C304="Smelter not listed",C304="Smelter not yet identified"),MATCH($B304&amp;$D304,'Smelter Look-up'!$J:$J,0),MATCH($B304&amp;$C304,'Smelter Look-up'!$J:$J,0)))</f>
        <v>#N/A</v>
      </c>
      <c r="X304" s="219">
        <f t="shared" ca="1" si="43"/>
        <v>0</v>
      </c>
      <c r="AB304" s="220" t="str">
        <f t="shared" si="44"/>
        <v/>
      </c>
    </row>
    <row r="305" spans="1:28" s="219" customFormat="1" ht="20.25">
      <c r="A305" s="174"/>
      <c r="B305" s="175" t="str">
        <f>IF(LEN(A305)=0,"",INDEX('Smelter Look-up'!$A:$A,MATCH($A305,'Smelter Look-up'!$E:$E,0)))</f>
        <v/>
      </c>
      <c r="C305" s="179" t="str">
        <f>IF(LEN(A305)=0,"",INDEX('Smelter Look-up'!$C:$C,MATCH($A305,'Smelter Look-up'!$E:$E,0)))</f>
        <v/>
      </c>
      <c r="D305" s="222"/>
      <c r="E305" s="175" t="str">
        <f ca="1">IF(ISERROR($V305),"",OFFSET('Smelter Look-up'!$D$4,$V305-4,0)&amp;"")</f>
        <v/>
      </c>
      <c r="F305" s="175" t="str">
        <f ca="1">IF(ISERROR($V305),"",OFFSET('Smelter Look-up'!$E$4,$V305-4,0))</f>
        <v/>
      </c>
      <c r="G305" s="175" t="str">
        <f ca="1">IF(C305=$X$4,IF(ISERROR($V305),"Enter smelter details","RMI"),IF(ISERROR($V305),"",OFFSET('Smelter Look-up'!$F$4,$V305-4,0)))</f>
        <v/>
      </c>
      <c r="H305" s="176" t="str">
        <f ca="1">IF(ISERROR($V305),"",OFFSET('Smelter Look-up'!$G$4,$V305-4,0))</f>
        <v/>
      </c>
      <c r="I305" s="177" t="str">
        <f ca="1">IF(ISERROR($V305),"",OFFSET('Smelter Look-up'!$H$4,$V305-4,0))</f>
        <v/>
      </c>
      <c r="J305" s="177" t="str">
        <f ca="1">IF(ISERROR($V305),"",OFFSET('Smelter Look-up'!$I$4,$V305-4,0))</f>
        <v/>
      </c>
      <c r="K305" s="216"/>
      <c r="L305" s="216"/>
      <c r="M305" s="216"/>
      <c r="N305" s="216"/>
      <c r="O305" s="216"/>
      <c r="P305" s="178"/>
      <c r="Q305" s="217"/>
      <c r="R305" s="175" t="str">
        <f ca="1">IF(ISERROR($V305),"",OFFSET('Smelter Look-up'!$C$4,$V305-4,0)&amp;"")</f>
        <v/>
      </c>
      <c r="S305" s="174" t="str">
        <f t="shared" ca="1" si="42"/>
        <v/>
      </c>
      <c r="T305" s="174" t="str">
        <f ca="1">IF(B305="","",IF(ISERROR(MATCH($J305,SorP!$B$1:$B$6279,0)),"",INDIRECT("'SorP'!$A$"&amp;MATCH($S305&amp;$J305,SorP!C:C,0))))</f>
        <v/>
      </c>
      <c r="U305" s="194"/>
      <c r="V305" s="218" t="e">
        <f>IF(C305="",NA(),IF(OR(C305="Smelter not listed",C305="Smelter not yet identified"),MATCH($B305&amp;$D305,'Smelter Look-up'!$J:$J,0),MATCH($B305&amp;$C305,'Smelter Look-up'!$J:$J,0)))</f>
        <v>#N/A</v>
      </c>
      <c r="X305" s="219">
        <f t="shared" ca="1" si="43"/>
        <v>0</v>
      </c>
      <c r="AB305" s="220" t="str">
        <f t="shared" si="44"/>
        <v/>
      </c>
    </row>
    <row r="306" spans="1:28" s="219" customFormat="1" ht="20.25">
      <c r="A306" s="174"/>
      <c r="B306" s="175" t="str">
        <f>IF(LEN(A306)=0,"",INDEX('Smelter Look-up'!$A:$A,MATCH($A306,'Smelter Look-up'!$E:$E,0)))</f>
        <v/>
      </c>
      <c r="C306" s="179" t="str">
        <f>IF(LEN(A306)=0,"",INDEX('Smelter Look-up'!$C:$C,MATCH($A306,'Smelter Look-up'!$E:$E,0)))</f>
        <v/>
      </c>
      <c r="D306" s="222"/>
      <c r="E306" s="175" t="str">
        <f ca="1">IF(ISERROR($V306),"",OFFSET('Smelter Look-up'!$D$4,$V306-4,0)&amp;"")</f>
        <v/>
      </c>
      <c r="F306" s="175" t="str">
        <f ca="1">IF(ISERROR($V306),"",OFFSET('Smelter Look-up'!$E$4,$V306-4,0))</f>
        <v/>
      </c>
      <c r="G306" s="175" t="str">
        <f ca="1">IF(C306=$X$4,IF(ISERROR($V306),"Enter smelter details","RMI"),IF(ISERROR($V306),"",OFFSET('Smelter Look-up'!$F$4,$V306-4,0)))</f>
        <v/>
      </c>
      <c r="H306" s="176" t="str">
        <f ca="1">IF(ISERROR($V306),"",OFFSET('Smelter Look-up'!$G$4,$V306-4,0))</f>
        <v/>
      </c>
      <c r="I306" s="177" t="str">
        <f ca="1">IF(ISERROR($V306),"",OFFSET('Smelter Look-up'!$H$4,$V306-4,0))</f>
        <v/>
      </c>
      <c r="J306" s="177" t="str">
        <f ca="1">IF(ISERROR($V306),"",OFFSET('Smelter Look-up'!$I$4,$V306-4,0))</f>
        <v/>
      </c>
      <c r="K306" s="216"/>
      <c r="L306" s="216"/>
      <c r="M306" s="216"/>
      <c r="N306" s="216"/>
      <c r="O306" s="216"/>
      <c r="P306" s="178"/>
      <c r="Q306" s="217"/>
      <c r="R306" s="175" t="str">
        <f ca="1">IF(ISERROR($V306),"",OFFSET('Smelter Look-up'!$C$4,$V306-4,0)&amp;"")</f>
        <v/>
      </c>
      <c r="S306" s="174" t="str">
        <f t="shared" ca="1" si="42"/>
        <v/>
      </c>
      <c r="T306" s="174" t="str">
        <f ca="1">IF(B306="","",IF(ISERROR(MATCH($J306,SorP!$B$1:$B$6279,0)),"",INDIRECT("'SorP'!$A$"&amp;MATCH($S306&amp;$J306,SorP!C:C,0))))</f>
        <v/>
      </c>
      <c r="U306" s="194"/>
      <c r="V306" s="218" t="e">
        <f>IF(C306="",NA(),IF(OR(C306="Smelter not listed",C306="Smelter not yet identified"),MATCH($B306&amp;$D306,'Smelter Look-up'!$J:$J,0),MATCH($B306&amp;$C306,'Smelter Look-up'!$J:$J,0)))</f>
        <v>#N/A</v>
      </c>
      <c r="X306" s="219">
        <f t="shared" ca="1" si="43"/>
        <v>0</v>
      </c>
      <c r="AB306" s="220" t="str">
        <f t="shared" si="44"/>
        <v/>
      </c>
    </row>
    <row r="307" spans="1:28" s="219" customFormat="1" ht="20.25">
      <c r="A307" s="174"/>
      <c r="B307" s="175" t="str">
        <f>IF(LEN(A307)=0,"",INDEX('Smelter Look-up'!$A:$A,MATCH($A307,'Smelter Look-up'!$E:$E,0)))</f>
        <v/>
      </c>
      <c r="C307" s="179" t="str">
        <f>IF(LEN(A307)=0,"",INDEX('Smelter Look-up'!$C:$C,MATCH($A307,'Smelter Look-up'!$E:$E,0)))</f>
        <v/>
      </c>
      <c r="D307" s="222"/>
      <c r="E307" s="175" t="str">
        <f ca="1">IF(ISERROR($V307),"",OFFSET('Smelter Look-up'!$D$4,$V307-4,0)&amp;"")</f>
        <v/>
      </c>
      <c r="F307" s="175" t="str">
        <f ca="1">IF(ISERROR($V307),"",OFFSET('Smelter Look-up'!$E$4,$V307-4,0))</f>
        <v/>
      </c>
      <c r="G307" s="175" t="str">
        <f ca="1">IF(C307=$X$4,IF(ISERROR($V307),"Enter smelter details","RMI"),IF(ISERROR($V307),"",OFFSET('Smelter Look-up'!$F$4,$V307-4,0)))</f>
        <v/>
      </c>
      <c r="H307" s="176" t="str">
        <f ca="1">IF(ISERROR($V307),"",OFFSET('Smelter Look-up'!$G$4,$V307-4,0))</f>
        <v/>
      </c>
      <c r="I307" s="177" t="str">
        <f ca="1">IF(ISERROR($V307),"",OFFSET('Smelter Look-up'!$H$4,$V307-4,0))</f>
        <v/>
      </c>
      <c r="J307" s="177" t="str">
        <f ca="1">IF(ISERROR($V307),"",OFFSET('Smelter Look-up'!$I$4,$V307-4,0))</f>
        <v/>
      </c>
      <c r="K307" s="216"/>
      <c r="L307" s="216"/>
      <c r="M307" s="216"/>
      <c r="N307" s="216"/>
      <c r="O307" s="216"/>
      <c r="P307" s="178"/>
      <c r="Q307" s="217"/>
      <c r="R307" s="175" t="str">
        <f ca="1">IF(ISERROR($V307),"",OFFSET('Smelter Look-up'!$C$4,$V307-4,0)&amp;"")</f>
        <v/>
      </c>
      <c r="S307" s="174" t="str">
        <f t="shared" ca="1" si="42"/>
        <v/>
      </c>
      <c r="T307" s="174" t="str">
        <f ca="1">IF(B307="","",IF(ISERROR(MATCH($J307,SorP!$B$1:$B$6279,0)),"",INDIRECT("'SorP'!$A$"&amp;MATCH($S307&amp;$J307,SorP!C:C,0))))</f>
        <v/>
      </c>
      <c r="U307" s="194"/>
      <c r="V307" s="218" t="e">
        <f>IF(C307="",NA(),IF(OR(C307="Smelter not listed",C307="Smelter not yet identified"),MATCH($B307&amp;$D307,'Smelter Look-up'!$J:$J,0),MATCH($B307&amp;$C307,'Smelter Look-up'!$J:$J,0)))</f>
        <v>#N/A</v>
      </c>
      <c r="X307" s="219">
        <f t="shared" ca="1" si="43"/>
        <v>0</v>
      </c>
      <c r="AB307" s="220" t="str">
        <f t="shared" si="44"/>
        <v/>
      </c>
    </row>
    <row r="308" spans="1:28" s="219" customFormat="1" ht="20.25">
      <c r="A308" s="174"/>
      <c r="B308" s="175" t="str">
        <f>IF(LEN(A308)=0,"",INDEX('Smelter Look-up'!$A:$A,MATCH($A308,'Smelter Look-up'!$E:$E,0)))</f>
        <v/>
      </c>
      <c r="C308" s="179" t="str">
        <f>IF(LEN(A308)=0,"",INDEX('Smelter Look-up'!$C:$C,MATCH($A308,'Smelter Look-up'!$E:$E,0)))</f>
        <v/>
      </c>
      <c r="D308" s="222"/>
      <c r="E308" s="175" t="str">
        <f ca="1">IF(ISERROR($V308),"",OFFSET('Smelter Look-up'!$D$4,$V308-4,0)&amp;"")</f>
        <v/>
      </c>
      <c r="F308" s="175" t="str">
        <f ca="1">IF(ISERROR($V308),"",OFFSET('Smelter Look-up'!$E$4,$V308-4,0))</f>
        <v/>
      </c>
      <c r="G308" s="175" t="str">
        <f ca="1">IF(C308=$X$4,IF(ISERROR($V308),"Enter smelter details","RMI"),IF(ISERROR($V308),"",OFFSET('Smelter Look-up'!$F$4,$V308-4,0)))</f>
        <v/>
      </c>
      <c r="H308" s="176" t="str">
        <f ca="1">IF(ISERROR($V308),"",OFFSET('Smelter Look-up'!$G$4,$V308-4,0))</f>
        <v/>
      </c>
      <c r="I308" s="177" t="str">
        <f ca="1">IF(ISERROR($V308),"",OFFSET('Smelter Look-up'!$H$4,$V308-4,0))</f>
        <v/>
      </c>
      <c r="J308" s="177" t="str">
        <f ca="1">IF(ISERROR($V308),"",OFFSET('Smelter Look-up'!$I$4,$V308-4,0))</f>
        <v/>
      </c>
      <c r="K308" s="216"/>
      <c r="L308" s="216"/>
      <c r="M308" s="216"/>
      <c r="N308" s="216"/>
      <c r="O308" s="216"/>
      <c r="P308" s="178"/>
      <c r="Q308" s="217"/>
      <c r="R308" s="175" t="str">
        <f ca="1">IF(ISERROR($V308),"",OFFSET('Smelter Look-up'!$C$4,$V308-4,0)&amp;"")</f>
        <v/>
      </c>
      <c r="S308" s="174" t="str">
        <f t="shared" ca="1" si="42"/>
        <v/>
      </c>
      <c r="T308" s="174" t="str">
        <f ca="1">IF(B308="","",IF(ISERROR(MATCH($J308,SorP!$B$1:$B$6279,0)),"",INDIRECT("'SorP'!$A$"&amp;MATCH($S308&amp;$J308,SorP!C:C,0))))</f>
        <v/>
      </c>
      <c r="U308" s="194"/>
      <c r="V308" s="218" t="e">
        <f>IF(C308="",NA(),IF(OR(C308="Smelter not listed",C308="Smelter not yet identified"),MATCH($B308&amp;$D308,'Smelter Look-up'!$J:$J,0),MATCH($B308&amp;$C308,'Smelter Look-up'!$J:$J,0)))</f>
        <v>#N/A</v>
      </c>
      <c r="X308" s="219">
        <f t="shared" ca="1" si="43"/>
        <v>0</v>
      </c>
      <c r="AB308" s="220" t="str">
        <f t="shared" si="44"/>
        <v/>
      </c>
    </row>
    <row r="309" spans="1:28" s="219" customFormat="1" ht="20.25">
      <c r="A309" s="174"/>
      <c r="B309" s="175" t="str">
        <f>IF(LEN(A309)=0,"",INDEX('Smelter Look-up'!$A:$A,MATCH($A309,'Smelter Look-up'!$E:$E,0)))</f>
        <v/>
      </c>
      <c r="C309" s="179" t="str">
        <f>IF(LEN(A309)=0,"",INDEX('Smelter Look-up'!$C:$C,MATCH($A309,'Smelter Look-up'!$E:$E,0)))</f>
        <v/>
      </c>
      <c r="D309" s="222"/>
      <c r="E309" s="175" t="str">
        <f ca="1">IF(ISERROR($V309),"",OFFSET('Smelter Look-up'!$D$4,$V309-4,0)&amp;"")</f>
        <v/>
      </c>
      <c r="F309" s="175" t="str">
        <f ca="1">IF(ISERROR($V309),"",OFFSET('Smelter Look-up'!$E$4,$V309-4,0))</f>
        <v/>
      </c>
      <c r="G309" s="175" t="str">
        <f ca="1">IF(C309=$X$4,IF(ISERROR($V309),"Enter smelter details","RMI"),IF(ISERROR($V309),"",OFFSET('Smelter Look-up'!$F$4,$V309-4,0)))</f>
        <v/>
      </c>
      <c r="H309" s="176" t="str">
        <f ca="1">IF(ISERROR($V309),"",OFFSET('Smelter Look-up'!$G$4,$V309-4,0))</f>
        <v/>
      </c>
      <c r="I309" s="177" t="str">
        <f ca="1">IF(ISERROR($V309),"",OFFSET('Smelter Look-up'!$H$4,$V309-4,0))</f>
        <v/>
      </c>
      <c r="J309" s="177" t="str">
        <f ca="1">IF(ISERROR($V309),"",OFFSET('Smelter Look-up'!$I$4,$V309-4,0))</f>
        <v/>
      </c>
      <c r="K309" s="216"/>
      <c r="L309" s="216"/>
      <c r="M309" s="216"/>
      <c r="N309" s="216"/>
      <c r="O309" s="216"/>
      <c r="P309" s="178"/>
      <c r="Q309" s="217"/>
      <c r="R309" s="175" t="str">
        <f ca="1">IF(ISERROR($V309),"",OFFSET('Smelter Look-up'!$C$4,$V309-4,0)&amp;"")</f>
        <v/>
      </c>
      <c r="S309" s="174" t="str">
        <f t="shared" ca="1" si="42"/>
        <v/>
      </c>
      <c r="T309" s="174" t="str">
        <f ca="1">IF(B309="","",IF(ISERROR(MATCH($J309,SorP!$B$1:$B$6279,0)),"",INDIRECT("'SorP'!$A$"&amp;MATCH($S309&amp;$J309,SorP!C:C,0))))</f>
        <v/>
      </c>
      <c r="U309" s="194"/>
      <c r="V309" s="218" t="e">
        <f>IF(C309="",NA(),IF(OR(C309="Smelter not listed",C309="Smelter not yet identified"),MATCH($B309&amp;$D309,'Smelter Look-up'!$J:$J,0),MATCH($B309&amp;$C309,'Smelter Look-up'!$J:$J,0)))</f>
        <v>#N/A</v>
      </c>
      <c r="X309" s="219">
        <f t="shared" ca="1" si="43"/>
        <v>0</v>
      </c>
      <c r="AB309" s="220" t="str">
        <f t="shared" si="44"/>
        <v/>
      </c>
    </row>
    <row r="310" spans="1:28" s="219" customFormat="1" ht="20.25">
      <c r="A310" s="174"/>
      <c r="B310" s="175" t="str">
        <f>IF(LEN(A310)=0,"",INDEX('Smelter Look-up'!$A:$A,MATCH($A310,'Smelter Look-up'!$E:$E,0)))</f>
        <v/>
      </c>
      <c r="C310" s="179" t="str">
        <f>IF(LEN(A310)=0,"",INDEX('Smelter Look-up'!$C:$C,MATCH($A310,'Smelter Look-up'!$E:$E,0)))</f>
        <v/>
      </c>
      <c r="D310" s="222"/>
      <c r="E310" s="175" t="str">
        <f ca="1">IF(ISERROR($V310),"",OFFSET('Smelter Look-up'!$D$4,$V310-4,0)&amp;"")</f>
        <v/>
      </c>
      <c r="F310" s="175" t="str">
        <f ca="1">IF(ISERROR($V310),"",OFFSET('Smelter Look-up'!$E$4,$V310-4,0))</f>
        <v/>
      </c>
      <c r="G310" s="175" t="str">
        <f ca="1">IF(C310=$X$4,IF(ISERROR($V310),"Enter smelter details","RMI"),IF(ISERROR($V310),"",OFFSET('Smelter Look-up'!$F$4,$V310-4,0)))</f>
        <v/>
      </c>
      <c r="H310" s="176" t="str">
        <f ca="1">IF(ISERROR($V310),"",OFFSET('Smelter Look-up'!$G$4,$V310-4,0))</f>
        <v/>
      </c>
      <c r="I310" s="177" t="str">
        <f ca="1">IF(ISERROR($V310),"",OFFSET('Smelter Look-up'!$H$4,$V310-4,0))</f>
        <v/>
      </c>
      <c r="J310" s="177" t="str">
        <f ca="1">IF(ISERROR($V310),"",OFFSET('Smelter Look-up'!$I$4,$V310-4,0))</f>
        <v/>
      </c>
      <c r="K310" s="216"/>
      <c r="L310" s="216"/>
      <c r="M310" s="216"/>
      <c r="N310" s="216"/>
      <c r="O310" s="216"/>
      <c r="P310" s="178"/>
      <c r="Q310" s="217"/>
      <c r="R310" s="175" t="str">
        <f ca="1">IF(ISERROR($V310),"",OFFSET('Smelter Look-up'!$C$4,$V310-4,0)&amp;"")</f>
        <v/>
      </c>
      <c r="S310" s="174" t="str">
        <f t="shared" ca="1" si="42"/>
        <v/>
      </c>
      <c r="T310" s="174" t="str">
        <f ca="1">IF(B310="","",IF(ISERROR(MATCH($J310,SorP!$B$1:$B$6279,0)),"",INDIRECT("'SorP'!$A$"&amp;MATCH($S310&amp;$J310,SorP!C:C,0))))</f>
        <v/>
      </c>
      <c r="U310" s="194"/>
      <c r="V310" s="218" t="e">
        <f>IF(C310="",NA(),IF(OR(C310="Smelter not listed",C310="Smelter not yet identified"),MATCH($B310&amp;$D310,'Smelter Look-up'!$J:$J,0),MATCH($B310&amp;$C310,'Smelter Look-up'!$J:$J,0)))</f>
        <v>#N/A</v>
      </c>
      <c r="X310" s="219">
        <f t="shared" ca="1" si="43"/>
        <v>0</v>
      </c>
      <c r="AB310" s="220" t="str">
        <f t="shared" si="44"/>
        <v/>
      </c>
    </row>
    <row r="311" spans="1:28" s="219" customFormat="1" ht="20.25">
      <c r="A311" s="174"/>
      <c r="B311" s="175" t="str">
        <f>IF(LEN(A311)=0,"",INDEX('Smelter Look-up'!$A:$A,MATCH($A311,'Smelter Look-up'!$E:$E,0)))</f>
        <v/>
      </c>
      <c r="C311" s="179" t="str">
        <f>IF(LEN(A311)=0,"",INDEX('Smelter Look-up'!$C:$C,MATCH($A311,'Smelter Look-up'!$E:$E,0)))</f>
        <v/>
      </c>
      <c r="D311" s="222"/>
      <c r="E311" s="175" t="str">
        <f ca="1">IF(ISERROR($V311),"",OFFSET('Smelter Look-up'!$D$4,$V311-4,0)&amp;"")</f>
        <v/>
      </c>
      <c r="F311" s="175" t="str">
        <f ca="1">IF(ISERROR($V311),"",OFFSET('Smelter Look-up'!$E$4,$V311-4,0))</f>
        <v/>
      </c>
      <c r="G311" s="175" t="str">
        <f ca="1">IF(C311=$X$4,IF(ISERROR($V311),"Enter smelter details","RMI"),IF(ISERROR($V311),"",OFFSET('Smelter Look-up'!$F$4,$V311-4,0)))</f>
        <v/>
      </c>
      <c r="H311" s="176" t="str">
        <f ca="1">IF(ISERROR($V311),"",OFFSET('Smelter Look-up'!$G$4,$V311-4,0))</f>
        <v/>
      </c>
      <c r="I311" s="177" t="str">
        <f ca="1">IF(ISERROR($V311),"",OFFSET('Smelter Look-up'!$H$4,$V311-4,0))</f>
        <v/>
      </c>
      <c r="J311" s="177" t="str">
        <f ca="1">IF(ISERROR($V311),"",OFFSET('Smelter Look-up'!$I$4,$V311-4,0))</f>
        <v/>
      </c>
      <c r="K311" s="216"/>
      <c r="L311" s="216"/>
      <c r="M311" s="216"/>
      <c r="N311" s="216"/>
      <c r="O311" s="216"/>
      <c r="P311" s="178"/>
      <c r="Q311" s="217"/>
      <c r="R311" s="175" t="str">
        <f ca="1">IF(ISERROR($V311),"",OFFSET('Smelter Look-up'!$C$4,$V311-4,0)&amp;"")</f>
        <v/>
      </c>
      <c r="S311" s="174" t="str">
        <f t="shared" ca="1" si="42"/>
        <v/>
      </c>
      <c r="T311" s="174" t="str">
        <f ca="1">IF(B311="","",IF(ISERROR(MATCH($J311,SorP!$B$1:$B$6279,0)),"",INDIRECT("'SorP'!$A$"&amp;MATCH($S311&amp;$J311,SorP!C:C,0))))</f>
        <v/>
      </c>
      <c r="U311" s="194"/>
      <c r="V311" s="218" t="e">
        <f>IF(C311="",NA(),IF(OR(C311="Smelter not listed",C311="Smelter not yet identified"),MATCH($B311&amp;$D311,'Smelter Look-up'!$J:$J,0),MATCH($B311&amp;$C311,'Smelter Look-up'!$J:$J,0)))</f>
        <v>#N/A</v>
      </c>
      <c r="X311" s="219">
        <f t="shared" ca="1" si="43"/>
        <v>0</v>
      </c>
      <c r="AB311" s="220" t="str">
        <f t="shared" si="44"/>
        <v/>
      </c>
    </row>
    <row r="312" spans="1:28" s="219" customFormat="1" ht="20.25">
      <c r="A312" s="174"/>
      <c r="B312" s="175" t="str">
        <f>IF(LEN(A312)=0,"",INDEX('Smelter Look-up'!$A:$A,MATCH($A312,'Smelter Look-up'!$E:$E,0)))</f>
        <v/>
      </c>
      <c r="C312" s="179" t="str">
        <f>IF(LEN(A312)=0,"",INDEX('Smelter Look-up'!$C:$C,MATCH($A312,'Smelter Look-up'!$E:$E,0)))</f>
        <v/>
      </c>
      <c r="D312" s="222"/>
      <c r="E312" s="175" t="str">
        <f ca="1">IF(ISERROR($V312),"",OFFSET('Smelter Look-up'!$D$4,$V312-4,0)&amp;"")</f>
        <v/>
      </c>
      <c r="F312" s="175" t="str">
        <f ca="1">IF(ISERROR($V312),"",OFFSET('Smelter Look-up'!$E$4,$V312-4,0))</f>
        <v/>
      </c>
      <c r="G312" s="175" t="str">
        <f ca="1">IF(C312=$X$4,IF(ISERROR($V312),"Enter smelter details","RMI"),IF(ISERROR($V312),"",OFFSET('Smelter Look-up'!$F$4,$V312-4,0)))</f>
        <v/>
      </c>
      <c r="H312" s="176" t="str">
        <f ca="1">IF(ISERROR($V312),"",OFFSET('Smelter Look-up'!$G$4,$V312-4,0))</f>
        <v/>
      </c>
      <c r="I312" s="177" t="str">
        <f ca="1">IF(ISERROR($V312),"",OFFSET('Smelter Look-up'!$H$4,$V312-4,0))</f>
        <v/>
      </c>
      <c r="J312" s="177" t="str">
        <f ca="1">IF(ISERROR($V312),"",OFFSET('Smelter Look-up'!$I$4,$V312-4,0))</f>
        <v/>
      </c>
      <c r="K312" s="216"/>
      <c r="L312" s="216"/>
      <c r="M312" s="216"/>
      <c r="N312" s="216"/>
      <c r="O312" s="216"/>
      <c r="P312" s="178"/>
      <c r="Q312" s="217"/>
      <c r="R312" s="175" t="str">
        <f ca="1">IF(ISERROR($V312),"",OFFSET('Smelter Look-up'!$C$4,$V312-4,0)&amp;"")</f>
        <v/>
      </c>
      <c r="S312" s="174" t="str">
        <f t="shared" ca="1" si="42"/>
        <v/>
      </c>
      <c r="T312" s="174" t="str">
        <f ca="1">IF(B312="","",IF(ISERROR(MATCH($J312,SorP!$B$1:$B$6279,0)),"",INDIRECT("'SorP'!$A$"&amp;MATCH($S312&amp;$J312,SorP!C:C,0))))</f>
        <v/>
      </c>
      <c r="U312" s="194"/>
      <c r="V312" s="218" t="e">
        <f>IF(C312="",NA(),IF(OR(C312="Smelter not listed",C312="Smelter not yet identified"),MATCH($B312&amp;$D312,'Smelter Look-up'!$J:$J,0),MATCH($B312&amp;$C312,'Smelter Look-up'!$J:$J,0)))</f>
        <v>#N/A</v>
      </c>
      <c r="X312" s="219">
        <f t="shared" ca="1" si="43"/>
        <v>0</v>
      </c>
      <c r="AB312" s="220" t="str">
        <f t="shared" si="44"/>
        <v/>
      </c>
    </row>
    <row r="313" spans="1:28" s="219" customFormat="1" ht="20.25">
      <c r="A313" s="174"/>
      <c r="B313" s="175" t="str">
        <f>IF(LEN(A313)=0,"",INDEX('Smelter Look-up'!$A:$A,MATCH($A313,'Smelter Look-up'!$E:$E,0)))</f>
        <v/>
      </c>
      <c r="C313" s="179" t="str">
        <f>IF(LEN(A313)=0,"",INDEX('Smelter Look-up'!$C:$C,MATCH($A313,'Smelter Look-up'!$E:$E,0)))</f>
        <v/>
      </c>
      <c r="D313" s="222"/>
      <c r="E313" s="175" t="str">
        <f ca="1">IF(ISERROR($V313),"",OFFSET('Smelter Look-up'!$D$4,$V313-4,0)&amp;"")</f>
        <v/>
      </c>
      <c r="F313" s="175" t="str">
        <f ca="1">IF(ISERROR($V313),"",OFFSET('Smelter Look-up'!$E$4,$V313-4,0))</f>
        <v/>
      </c>
      <c r="G313" s="175" t="str">
        <f ca="1">IF(C313=$X$4,IF(ISERROR($V313),"Enter smelter details","RMI"),IF(ISERROR($V313),"",OFFSET('Smelter Look-up'!$F$4,$V313-4,0)))</f>
        <v/>
      </c>
      <c r="H313" s="176" t="str">
        <f ca="1">IF(ISERROR($V313),"",OFFSET('Smelter Look-up'!$G$4,$V313-4,0))</f>
        <v/>
      </c>
      <c r="I313" s="177" t="str">
        <f ca="1">IF(ISERROR($V313),"",OFFSET('Smelter Look-up'!$H$4,$V313-4,0))</f>
        <v/>
      </c>
      <c r="J313" s="177" t="str">
        <f ca="1">IF(ISERROR($V313),"",OFFSET('Smelter Look-up'!$I$4,$V313-4,0))</f>
        <v/>
      </c>
      <c r="K313" s="216"/>
      <c r="L313" s="216"/>
      <c r="M313" s="216"/>
      <c r="N313" s="216"/>
      <c r="O313" s="216"/>
      <c r="P313" s="178"/>
      <c r="Q313" s="217"/>
      <c r="R313" s="175" t="str">
        <f ca="1">IF(ISERROR($V313),"",OFFSET('Smelter Look-up'!$C$4,$V313-4,0)&amp;"")</f>
        <v/>
      </c>
      <c r="S313" s="174" t="str">
        <f t="shared" ca="1" si="42"/>
        <v/>
      </c>
      <c r="T313" s="174" t="str">
        <f ca="1">IF(B313="","",IF(ISERROR(MATCH($J313,SorP!$B$1:$B$6279,0)),"",INDIRECT("'SorP'!$A$"&amp;MATCH($S313&amp;$J313,SorP!C:C,0))))</f>
        <v/>
      </c>
      <c r="U313" s="194"/>
      <c r="V313" s="218" t="e">
        <f>IF(C313="",NA(),IF(OR(C313="Smelter not listed",C313="Smelter not yet identified"),MATCH($B313&amp;$D313,'Smelter Look-up'!$J:$J,0),MATCH($B313&amp;$C313,'Smelter Look-up'!$J:$J,0)))</f>
        <v>#N/A</v>
      </c>
      <c r="X313" s="219">
        <f t="shared" ca="1" si="43"/>
        <v>0</v>
      </c>
      <c r="AB313" s="220" t="str">
        <f t="shared" si="44"/>
        <v/>
      </c>
    </row>
    <row r="314" spans="1:28" s="219" customFormat="1" ht="20.25">
      <c r="A314" s="174"/>
      <c r="B314" s="175" t="str">
        <f>IF(LEN(A314)=0,"",INDEX('Smelter Look-up'!$A:$A,MATCH($A314,'Smelter Look-up'!$E:$E,0)))</f>
        <v/>
      </c>
      <c r="C314" s="179" t="str">
        <f>IF(LEN(A314)=0,"",INDEX('Smelter Look-up'!$C:$C,MATCH($A314,'Smelter Look-up'!$E:$E,0)))</f>
        <v/>
      </c>
      <c r="D314" s="222"/>
      <c r="E314" s="175" t="str">
        <f ca="1">IF(ISERROR($V314),"",OFFSET('Smelter Look-up'!$D$4,$V314-4,0)&amp;"")</f>
        <v/>
      </c>
      <c r="F314" s="175" t="str">
        <f ca="1">IF(ISERROR($V314),"",OFFSET('Smelter Look-up'!$E$4,$V314-4,0))</f>
        <v/>
      </c>
      <c r="G314" s="175" t="str">
        <f ca="1">IF(C314=$X$4,IF(ISERROR($V314),"Enter smelter details","RMI"),IF(ISERROR($V314),"",OFFSET('Smelter Look-up'!$F$4,$V314-4,0)))</f>
        <v/>
      </c>
      <c r="H314" s="176" t="str">
        <f ca="1">IF(ISERROR($V314),"",OFFSET('Smelter Look-up'!$G$4,$V314-4,0))</f>
        <v/>
      </c>
      <c r="I314" s="177" t="str">
        <f ca="1">IF(ISERROR($V314),"",OFFSET('Smelter Look-up'!$H$4,$V314-4,0))</f>
        <v/>
      </c>
      <c r="J314" s="177" t="str">
        <f ca="1">IF(ISERROR($V314),"",OFFSET('Smelter Look-up'!$I$4,$V314-4,0))</f>
        <v/>
      </c>
      <c r="K314" s="216"/>
      <c r="L314" s="216"/>
      <c r="M314" s="216"/>
      <c r="N314" s="216"/>
      <c r="O314" s="216"/>
      <c r="P314" s="178"/>
      <c r="Q314" s="217"/>
      <c r="R314" s="175" t="str">
        <f ca="1">IF(ISERROR($V314),"",OFFSET('Smelter Look-up'!$C$4,$V314-4,0)&amp;"")</f>
        <v/>
      </c>
      <c r="S314" s="174" t="str">
        <f t="shared" ca="1" si="42"/>
        <v/>
      </c>
      <c r="T314" s="174" t="str">
        <f ca="1">IF(B314="","",IF(ISERROR(MATCH($J314,SorP!$B$1:$B$6279,0)),"",INDIRECT("'SorP'!$A$"&amp;MATCH($S314&amp;$J314,SorP!C:C,0))))</f>
        <v/>
      </c>
      <c r="U314" s="194"/>
      <c r="V314" s="218" t="e">
        <f>IF(C314="",NA(),IF(OR(C314="Smelter not listed",C314="Smelter not yet identified"),MATCH($B314&amp;$D314,'Smelter Look-up'!$J:$J,0),MATCH($B314&amp;$C314,'Smelter Look-up'!$J:$J,0)))</f>
        <v>#N/A</v>
      </c>
      <c r="X314" s="219">
        <f t="shared" ca="1" si="43"/>
        <v>0</v>
      </c>
      <c r="AB314" s="220" t="str">
        <f t="shared" si="44"/>
        <v/>
      </c>
    </row>
    <row r="315" spans="1:28" s="219" customFormat="1" ht="20.25">
      <c r="A315" s="174"/>
      <c r="B315" s="175" t="str">
        <f>IF(LEN(A315)=0,"",INDEX('Smelter Look-up'!$A:$A,MATCH($A315,'Smelter Look-up'!$E:$E,0)))</f>
        <v/>
      </c>
      <c r="C315" s="179" t="str">
        <f>IF(LEN(A315)=0,"",INDEX('Smelter Look-up'!$C:$C,MATCH($A315,'Smelter Look-up'!$E:$E,0)))</f>
        <v/>
      </c>
      <c r="D315" s="222"/>
      <c r="E315" s="175" t="str">
        <f ca="1">IF(ISERROR($V315),"",OFFSET('Smelter Look-up'!$D$4,$V315-4,0)&amp;"")</f>
        <v/>
      </c>
      <c r="F315" s="175" t="str">
        <f ca="1">IF(ISERROR($V315),"",OFFSET('Smelter Look-up'!$E$4,$V315-4,0))</f>
        <v/>
      </c>
      <c r="G315" s="175" t="str">
        <f ca="1">IF(C315=$X$4,IF(ISERROR($V315),"Enter smelter details","RMI"),IF(ISERROR($V315),"",OFFSET('Smelter Look-up'!$F$4,$V315-4,0)))</f>
        <v/>
      </c>
      <c r="H315" s="176" t="str">
        <f ca="1">IF(ISERROR($V315),"",OFFSET('Smelter Look-up'!$G$4,$V315-4,0))</f>
        <v/>
      </c>
      <c r="I315" s="177" t="str">
        <f ca="1">IF(ISERROR($V315),"",OFFSET('Smelter Look-up'!$H$4,$V315-4,0))</f>
        <v/>
      </c>
      <c r="J315" s="177" t="str">
        <f ca="1">IF(ISERROR($V315),"",OFFSET('Smelter Look-up'!$I$4,$V315-4,0))</f>
        <v/>
      </c>
      <c r="K315" s="216"/>
      <c r="L315" s="216"/>
      <c r="M315" s="216"/>
      <c r="N315" s="216"/>
      <c r="O315" s="216"/>
      <c r="P315" s="178"/>
      <c r="Q315" s="217"/>
      <c r="R315" s="175" t="str">
        <f ca="1">IF(ISERROR($V315),"",OFFSET('Smelter Look-up'!$C$4,$V315-4,0)&amp;"")</f>
        <v/>
      </c>
      <c r="S315" s="174" t="str">
        <f t="shared" ca="1" si="42"/>
        <v/>
      </c>
      <c r="T315" s="174" t="str">
        <f ca="1">IF(B315="","",IF(ISERROR(MATCH($J315,SorP!$B$1:$B$6279,0)),"",INDIRECT("'SorP'!$A$"&amp;MATCH($S315&amp;$J315,SorP!C:C,0))))</f>
        <v/>
      </c>
      <c r="U315" s="194"/>
      <c r="V315" s="218" t="e">
        <f>IF(C315="",NA(),IF(OR(C315="Smelter not listed",C315="Smelter not yet identified"),MATCH($B315&amp;$D315,'Smelter Look-up'!$J:$J,0),MATCH($B315&amp;$C315,'Smelter Look-up'!$J:$J,0)))</f>
        <v>#N/A</v>
      </c>
      <c r="X315" s="219">
        <f t="shared" ca="1" si="43"/>
        <v>0</v>
      </c>
      <c r="AB315" s="220" t="str">
        <f t="shared" si="44"/>
        <v/>
      </c>
    </row>
    <row r="316" spans="1:28" s="219" customFormat="1" ht="20.25">
      <c r="A316" s="174"/>
      <c r="B316" s="175" t="str">
        <f>IF(LEN(A316)=0,"",INDEX('Smelter Look-up'!$A:$A,MATCH($A316,'Smelter Look-up'!$E:$E,0)))</f>
        <v/>
      </c>
      <c r="C316" s="179" t="str">
        <f>IF(LEN(A316)=0,"",INDEX('Smelter Look-up'!$C:$C,MATCH($A316,'Smelter Look-up'!$E:$E,0)))</f>
        <v/>
      </c>
      <c r="D316" s="222"/>
      <c r="E316" s="175" t="str">
        <f ca="1">IF(ISERROR($V316),"",OFFSET('Smelter Look-up'!$D$4,$V316-4,0)&amp;"")</f>
        <v/>
      </c>
      <c r="F316" s="175" t="str">
        <f ca="1">IF(ISERROR($V316),"",OFFSET('Smelter Look-up'!$E$4,$V316-4,0))</f>
        <v/>
      </c>
      <c r="G316" s="175" t="str">
        <f ca="1">IF(C316=$X$4,IF(ISERROR($V316),"Enter smelter details","RMI"),IF(ISERROR($V316),"",OFFSET('Smelter Look-up'!$F$4,$V316-4,0)))</f>
        <v/>
      </c>
      <c r="H316" s="176" t="str">
        <f ca="1">IF(ISERROR($V316),"",OFFSET('Smelter Look-up'!$G$4,$V316-4,0))</f>
        <v/>
      </c>
      <c r="I316" s="177" t="str">
        <f ca="1">IF(ISERROR($V316),"",OFFSET('Smelter Look-up'!$H$4,$V316-4,0))</f>
        <v/>
      </c>
      <c r="J316" s="177" t="str">
        <f ca="1">IF(ISERROR($V316),"",OFFSET('Smelter Look-up'!$I$4,$V316-4,0))</f>
        <v/>
      </c>
      <c r="K316" s="216"/>
      <c r="L316" s="216"/>
      <c r="M316" s="216"/>
      <c r="N316" s="216"/>
      <c r="O316" s="216"/>
      <c r="P316" s="178"/>
      <c r="Q316" s="217"/>
      <c r="R316" s="175" t="str">
        <f ca="1">IF(ISERROR($V316),"",OFFSET('Smelter Look-up'!$C$4,$V316-4,0)&amp;"")</f>
        <v/>
      </c>
      <c r="S316" s="174" t="str">
        <f t="shared" ca="1" si="42"/>
        <v/>
      </c>
      <c r="T316" s="174" t="str">
        <f ca="1">IF(B316="","",IF(ISERROR(MATCH($J316,SorP!$B$1:$B$6279,0)),"",INDIRECT("'SorP'!$A$"&amp;MATCH($S316&amp;$J316,SorP!C:C,0))))</f>
        <v/>
      </c>
      <c r="U316" s="194"/>
      <c r="V316" s="218" t="e">
        <f>IF(C316="",NA(),IF(OR(C316="Smelter not listed",C316="Smelter not yet identified"),MATCH($B316&amp;$D316,'Smelter Look-up'!$J:$J,0),MATCH($B316&amp;$C316,'Smelter Look-up'!$J:$J,0)))</f>
        <v>#N/A</v>
      </c>
      <c r="X316" s="219">
        <f t="shared" ca="1" si="43"/>
        <v>0</v>
      </c>
      <c r="AB316" s="220" t="str">
        <f t="shared" si="44"/>
        <v/>
      </c>
    </row>
    <row r="317" spans="1:28" s="219" customFormat="1" ht="20.25">
      <c r="A317" s="174"/>
      <c r="B317" s="175" t="str">
        <f>IF(LEN(A317)=0,"",INDEX('Smelter Look-up'!$A:$A,MATCH($A317,'Smelter Look-up'!$E:$E,0)))</f>
        <v/>
      </c>
      <c r="C317" s="179" t="str">
        <f>IF(LEN(A317)=0,"",INDEX('Smelter Look-up'!$C:$C,MATCH($A317,'Smelter Look-up'!$E:$E,0)))</f>
        <v/>
      </c>
      <c r="D317" s="222"/>
      <c r="E317" s="175" t="str">
        <f ca="1">IF(ISERROR($V317),"",OFFSET('Smelter Look-up'!$D$4,$V317-4,0)&amp;"")</f>
        <v/>
      </c>
      <c r="F317" s="175" t="str">
        <f ca="1">IF(ISERROR($V317),"",OFFSET('Smelter Look-up'!$E$4,$V317-4,0))</f>
        <v/>
      </c>
      <c r="G317" s="175" t="str">
        <f ca="1">IF(C317=$X$4,IF(ISERROR($V317),"Enter smelter details","RMI"),IF(ISERROR($V317),"",OFFSET('Smelter Look-up'!$F$4,$V317-4,0)))</f>
        <v/>
      </c>
      <c r="H317" s="176" t="str">
        <f ca="1">IF(ISERROR($V317),"",OFFSET('Smelter Look-up'!$G$4,$V317-4,0))</f>
        <v/>
      </c>
      <c r="I317" s="177" t="str">
        <f ca="1">IF(ISERROR($V317),"",OFFSET('Smelter Look-up'!$H$4,$V317-4,0))</f>
        <v/>
      </c>
      <c r="J317" s="177" t="str">
        <f ca="1">IF(ISERROR($V317),"",OFFSET('Smelter Look-up'!$I$4,$V317-4,0))</f>
        <v/>
      </c>
      <c r="K317" s="216"/>
      <c r="L317" s="216"/>
      <c r="M317" s="216"/>
      <c r="N317" s="216"/>
      <c r="O317" s="216"/>
      <c r="P317" s="178"/>
      <c r="Q317" s="217"/>
      <c r="R317" s="175" t="str">
        <f ca="1">IF(ISERROR($V317),"",OFFSET('Smelter Look-up'!$C$4,$V317-4,0)&amp;"")</f>
        <v/>
      </c>
      <c r="S317" s="174" t="str">
        <f t="shared" ca="1" si="42"/>
        <v/>
      </c>
      <c r="T317" s="174" t="str">
        <f ca="1">IF(B317="","",IF(ISERROR(MATCH($J317,SorP!$B$1:$B$6279,0)),"",INDIRECT("'SorP'!$A$"&amp;MATCH($S317&amp;$J317,SorP!C:C,0))))</f>
        <v/>
      </c>
      <c r="U317" s="194"/>
      <c r="V317" s="218" t="e">
        <f>IF(C317="",NA(),IF(OR(C317="Smelter not listed",C317="Smelter not yet identified"),MATCH($B317&amp;$D317,'Smelter Look-up'!$J:$J,0),MATCH($B317&amp;$C317,'Smelter Look-up'!$J:$J,0)))</f>
        <v>#N/A</v>
      </c>
      <c r="X317" s="219">
        <f t="shared" ca="1" si="43"/>
        <v>0</v>
      </c>
      <c r="AB317" s="220" t="str">
        <f t="shared" si="44"/>
        <v/>
      </c>
    </row>
    <row r="318" spans="1:28" s="219" customFormat="1" ht="20.25">
      <c r="A318" s="174"/>
      <c r="B318" s="175" t="str">
        <f>IF(LEN(A318)=0,"",INDEX('Smelter Look-up'!$A:$A,MATCH($A318,'Smelter Look-up'!$E:$E,0)))</f>
        <v/>
      </c>
      <c r="C318" s="179" t="str">
        <f>IF(LEN(A318)=0,"",INDEX('Smelter Look-up'!$C:$C,MATCH($A318,'Smelter Look-up'!$E:$E,0)))</f>
        <v/>
      </c>
      <c r="D318" s="222"/>
      <c r="E318" s="175" t="str">
        <f ca="1">IF(ISERROR($V318),"",OFFSET('Smelter Look-up'!$D$4,$V318-4,0)&amp;"")</f>
        <v/>
      </c>
      <c r="F318" s="175" t="str">
        <f ca="1">IF(ISERROR($V318),"",OFFSET('Smelter Look-up'!$E$4,$V318-4,0))</f>
        <v/>
      </c>
      <c r="G318" s="175" t="str">
        <f ca="1">IF(C318=$X$4,IF(ISERROR($V318),"Enter smelter details","RMI"),IF(ISERROR($V318),"",OFFSET('Smelter Look-up'!$F$4,$V318-4,0)))</f>
        <v/>
      </c>
      <c r="H318" s="176" t="str">
        <f ca="1">IF(ISERROR($V318),"",OFFSET('Smelter Look-up'!$G$4,$V318-4,0))</f>
        <v/>
      </c>
      <c r="I318" s="177" t="str">
        <f ca="1">IF(ISERROR($V318),"",OFFSET('Smelter Look-up'!$H$4,$V318-4,0))</f>
        <v/>
      </c>
      <c r="J318" s="177" t="str">
        <f ca="1">IF(ISERROR($V318),"",OFFSET('Smelter Look-up'!$I$4,$V318-4,0))</f>
        <v/>
      </c>
      <c r="K318" s="216"/>
      <c r="L318" s="216"/>
      <c r="M318" s="216"/>
      <c r="N318" s="216"/>
      <c r="O318" s="216"/>
      <c r="P318" s="178"/>
      <c r="Q318" s="217"/>
      <c r="R318" s="175" t="str">
        <f ca="1">IF(ISERROR($V318),"",OFFSET('Smelter Look-up'!$C$4,$V318-4,0)&amp;"")</f>
        <v/>
      </c>
      <c r="S318" s="174" t="str">
        <f t="shared" ca="1" si="42"/>
        <v/>
      </c>
      <c r="T318" s="174" t="str">
        <f ca="1">IF(B318="","",IF(ISERROR(MATCH($J318,SorP!$B$1:$B$6279,0)),"",INDIRECT("'SorP'!$A$"&amp;MATCH($S318&amp;$J318,SorP!C:C,0))))</f>
        <v/>
      </c>
      <c r="U318" s="194"/>
      <c r="V318" s="218" t="e">
        <f>IF(C318="",NA(),IF(OR(C318="Smelter not listed",C318="Smelter not yet identified"),MATCH($B318&amp;$D318,'Smelter Look-up'!$J:$J,0),MATCH($B318&amp;$C318,'Smelter Look-up'!$J:$J,0)))</f>
        <v>#N/A</v>
      </c>
      <c r="X318" s="219">
        <f t="shared" ca="1" si="43"/>
        <v>0</v>
      </c>
      <c r="AB318" s="220" t="str">
        <f t="shared" si="44"/>
        <v/>
      </c>
    </row>
    <row r="319" spans="1:28" s="219" customFormat="1" ht="20.25">
      <c r="A319" s="174"/>
      <c r="B319" s="175" t="str">
        <f>IF(LEN(A319)=0,"",INDEX('Smelter Look-up'!$A:$A,MATCH($A319,'Smelter Look-up'!$E:$E,0)))</f>
        <v/>
      </c>
      <c r="C319" s="179" t="str">
        <f>IF(LEN(A319)=0,"",INDEX('Smelter Look-up'!$C:$C,MATCH($A319,'Smelter Look-up'!$E:$E,0)))</f>
        <v/>
      </c>
      <c r="D319" s="222"/>
      <c r="E319" s="175" t="str">
        <f ca="1">IF(ISERROR($V319),"",OFFSET('Smelter Look-up'!$D$4,$V319-4,0)&amp;"")</f>
        <v/>
      </c>
      <c r="F319" s="175" t="str">
        <f ca="1">IF(ISERROR($V319),"",OFFSET('Smelter Look-up'!$E$4,$V319-4,0))</f>
        <v/>
      </c>
      <c r="G319" s="175" t="str">
        <f ca="1">IF(C319=$X$4,IF(ISERROR($V319),"Enter smelter details","RMI"),IF(ISERROR($V319),"",OFFSET('Smelter Look-up'!$F$4,$V319-4,0)))</f>
        <v/>
      </c>
      <c r="H319" s="176" t="str">
        <f ca="1">IF(ISERROR($V319),"",OFFSET('Smelter Look-up'!$G$4,$V319-4,0))</f>
        <v/>
      </c>
      <c r="I319" s="177" t="str">
        <f ca="1">IF(ISERROR($V319),"",OFFSET('Smelter Look-up'!$H$4,$V319-4,0))</f>
        <v/>
      </c>
      <c r="J319" s="177" t="str">
        <f ca="1">IF(ISERROR($V319),"",OFFSET('Smelter Look-up'!$I$4,$V319-4,0))</f>
        <v/>
      </c>
      <c r="K319" s="216"/>
      <c r="L319" s="216"/>
      <c r="M319" s="216"/>
      <c r="N319" s="216"/>
      <c r="O319" s="216"/>
      <c r="P319" s="178"/>
      <c r="Q319" s="217"/>
      <c r="R319" s="175" t="str">
        <f ca="1">IF(ISERROR($V319),"",OFFSET('Smelter Look-up'!$C$4,$V319-4,0)&amp;"")</f>
        <v/>
      </c>
      <c r="S319" s="174" t="str">
        <f t="shared" ca="1" si="42"/>
        <v/>
      </c>
      <c r="T319" s="174" t="str">
        <f ca="1">IF(B319="","",IF(ISERROR(MATCH($J319,SorP!$B$1:$B$6279,0)),"",INDIRECT("'SorP'!$A$"&amp;MATCH($S319&amp;$J319,SorP!C:C,0))))</f>
        <v/>
      </c>
      <c r="U319" s="194"/>
      <c r="V319" s="218" t="e">
        <f>IF(C319="",NA(),IF(OR(C319="Smelter not listed",C319="Smelter not yet identified"),MATCH($B319&amp;$D319,'Smelter Look-up'!$J:$J,0),MATCH($B319&amp;$C319,'Smelter Look-up'!$J:$J,0)))</f>
        <v>#N/A</v>
      </c>
      <c r="X319" s="219">
        <f t="shared" ca="1" si="43"/>
        <v>0</v>
      </c>
      <c r="AB319" s="220" t="str">
        <f t="shared" si="44"/>
        <v/>
      </c>
    </row>
    <row r="320" spans="1:28" s="219" customFormat="1" ht="20.25">
      <c r="A320" s="174"/>
      <c r="B320" s="175" t="str">
        <f>IF(LEN(A320)=0,"",INDEX('Smelter Look-up'!$A:$A,MATCH($A320,'Smelter Look-up'!$E:$E,0)))</f>
        <v/>
      </c>
      <c r="C320" s="179" t="str">
        <f>IF(LEN(A320)=0,"",INDEX('Smelter Look-up'!$C:$C,MATCH($A320,'Smelter Look-up'!$E:$E,0)))</f>
        <v/>
      </c>
      <c r="D320" s="222"/>
      <c r="E320" s="175" t="str">
        <f ca="1">IF(ISERROR($V320),"",OFFSET('Smelter Look-up'!$D$4,$V320-4,0)&amp;"")</f>
        <v/>
      </c>
      <c r="F320" s="175" t="str">
        <f ca="1">IF(ISERROR($V320),"",OFFSET('Smelter Look-up'!$E$4,$V320-4,0))</f>
        <v/>
      </c>
      <c r="G320" s="175" t="str">
        <f ca="1">IF(C320=$X$4,IF(ISERROR($V320),"Enter smelter details","RMI"),IF(ISERROR($V320),"",OFFSET('Smelter Look-up'!$F$4,$V320-4,0)))</f>
        <v/>
      </c>
      <c r="H320" s="176" t="str">
        <f ca="1">IF(ISERROR($V320),"",OFFSET('Smelter Look-up'!$G$4,$V320-4,0))</f>
        <v/>
      </c>
      <c r="I320" s="177" t="str">
        <f ca="1">IF(ISERROR($V320),"",OFFSET('Smelter Look-up'!$H$4,$V320-4,0))</f>
        <v/>
      </c>
      <c r="J320" s="177" t="str">
        <f ca="1">IF(ISERROR($V320),"",OFFSET('Smelter Look-up'!$I$4,$V320-4,0))</f>
        <v/>
      </c>
      <c r="K320" s="216"/>
      <c r="L320" s="216"/>
      <c r="M320" s="216"/>
      <c r="N320" s="216"/>
      <c r="O320" s="216"/>
      <c r="P320" s="178"/>
      <c r="Q320" s="217"/>
      <c r="R320" s="175" t="str">
        <f ca="1">IF(ISERROR($V320),"",OFFSET('Smelter Look-up'!$C$4,$V320-4,0)&amp;"")</f>
        <v/>
      </c>
      <c r="S320" s="174" t="str">
        <f t="shared" ca="1" si="42"/>
        <v/>
      </c>
      <c r="T320" s="174" t="str">
        <f ca="1">IF(B320="","",IF(ISERROR(MATCH($J320,SorP!$B$1:$B$6279,0)),"",INDIRECT("'SorP'!$A$"&amp;MATCH($S320&amp;$J320,SorP!C:C,0))))</f>
        <v/>
      </c>
      <c r="U320" s="194"/>
      <c r="V320" s="218" t="e">
        <f>IF(C320="",NA(),IF(OR(C320="Smelter not listed",C320="Smelter not yet identified"),MATCH($B320&amp;$D320,'Smelter Look-up'!$J:$J,0),MATCH($B320&amp;$C320,'Smelter Look-up'!$J:$J,0)))</f>
        <v>#N/A</v>
      </c>
      <c r="X320" s="219">
        <f t="shared" ca="1" si="43"/>
        <v>0</v>
      </c>
      <c r="AB320" s="220" t="str">
        <f t="shared" si="44"/>
        <v/>
      </c>
    </row>
    <row r="321" spans="1:28" s="219" customFormat="1" ht="20.25">
      <c r="A321" s="174"/>
      <c r="B321" s="175" t="str">
        <f>IF(LEN(A321)=0,"",INDEX('Smelter Look-up'!$A:$A,MATCH($A321,'Smelter Look-up'!$E:$E,0)))</f>
        <v/>
      </c>
      <c r="C321" s="179" t="str">
        <f>IF(LEN(A321)=0,"",INDEX('Smelter Look-up'!$C:$C,MATCH($A321,'Smelter Look-up'!$E:$E,0)))</f>
        <v/>
      </c>
      <c r="D321" s="222"/>
      <c r="E321" s="175" t="str">
        <f ca="1">IF(ISERROR($V321),"",OFFSET('Smelter Look-up'!$D$4,$V321-4,0)&amp;"")</f>
        <v/>
      </c>
      <c r="F321" s="175" t="str">
        <f ca="1">IF(ISERROR($V321),"",OFFSET('Smelter Look-up'!$E$4,$V321-4,0))</f>
        <v/>
      </c>
      <c r="G321" s="175" t="str">
        <f ca="1">IF(C321=$X$4,IF(ISERROR($V321),"Enter smelter details","RMI"),IF(ISERROR($V321),"",OFFSET('Smelter Look-up'!$F$4,$V321-4,0)))</f>
        <v/>
      </c>
      <c r="H321" s="176" t="str">
        <f ca="1">IF(ISERROR($V321),"",OFFSET('Smelter Look-up'!$G$4,$V321-4,0))</f>
        <v/>
      </c>
      <c r="I321" s="177" t="str">
        <f ca="1">IF(ISERROR($V321),"",OFFSET('Smelter Look-up'!$H$4,$V321-4,0))</f>
        <v/>
      </c>
      <c r="J321" s="177" t="str">
        <f ca="1">IF(ISERROR($V321),"",OFFSET('Smelter Look-up'!$I$4,$V321-4,0))</f>
        <v/>
      </c>
      <c r="K321" s="216"/>
      <c r="L321" s="216"/>
      <c r="M321" s="216"/>
      <c r="N321" s="216"/>
      <c r="O321" s="216"/>
      <c r="P321" s="178"/>
      <c r="Q321" s="217"/>
      <c r="R321" s="175" t="str">
        <f ca="1">IF(ISERROR($V321),"",OFFSET('Smelter Look-up'!$C$4,$V321-4,0)&amp;"")</f>
        <v/>
      </c>
      <c r="S321" s="174" t="str">
        <f t="shared" ca="1" si="42"/>
        <v/>
      </c>
      <c r="T321" s="174" t="str">
        <f ca="1">IF(B321="","",IF(ISERROR(MATCH($J321,SorP!$B$1:$B$6279,0)),"",INDIRECT("'SorP'!$A$"&amp;MATCH($S321&amp;$J321,SorP!C:C,0))))</f>
        <v/>
      </c>
      <c r="U321" s="194"/>
      <c r="V321" s="218" t="e">
        <f>IF(C321="",NA(),IF(OR(C321="Smelter not listed",C321="Smelter not yet identified"),MATCH($B321&amp;$D321,'Smelter Look-up'!$J:$J,0),MATCH($B321&amp;$C321,'Smelter Look-up'!$J:$J,0)))</f>
        <v>#N/A</v>
      </c>
      <c r="X321" s="219">
        <f t="shared" ca="1" si="43"/>
        <v>0</v>
      </c>
      <c r="AB321" s="220" t="str">
        <f t="shared" si="44"/>
        <v/>
      </c>
    </row>
    <row r="322" spans="1:28" s="219" customFormat="1" ht="20.25">
      <c r="A322" s="174"/>
      <c r="B322" s="175" t="str">
        <f>IF(LEN(A322)=0,"",INDEX('Smelter Look-up'!$A:$A,MATCH($A322,'Smelter Look-up'!$E:$E,0)))</f>
        <v/>
      </c>
      <c r="C322" s="179" t="str">
        <f>IF(LEN(A322)=0,"",INDEX('Smelter Look-up'!$C:$C,MATCH($A322,'Smelter Look-up'!$E:$E,0)))</f>
        <v/>
      </c>
      <c r="D322" s="222"/>
      <c r="E322" s="175" t="str">
        <f ca="1">IF(ISERROR($V322),"",OFFSET('Smelter Look-up'!$D$4,$V322-4,0)&amp;"")</f>
        <v/>
      </c>
      <c r="F322" s="175" t="str">
        <f ca="1">IF(ISERROR($V322),"",OFFSET('Smelter Look-up'!$E$4,$V322-4,0))</f>
        <v/>
      </c>
      <c r="G322" s="175" t="str">
        <f ca="1">IF(C322=$X$4,IF(ISERROR($V322),"Enter smelter details","RMI"),IF(ISERROR($V322),"",OFFSET('Smelter Look-up'!$F$4,$V322-4,0)))</f>
        <v/>
      </c>
      <c r="H322" s="176" t="str">
        <f ca="1">IF(ISERROR($V322),"",OFFSET('Smelter Look-up'!$G$4,$V322-4,0))</f>
        <v/>
      </c>
      <c r="I322" s="177" t="str">
        <f ca="1">IF(ISERROR($V322),"",OFFSET('Smelter Look-up'!$H$4,$V322-4,0))</f>
        <v/>
      </c>
      <c r="J322" s="177" t="str">
        <f ca="1">IF(ISERROR($V322),"",OFFSET('Smelter Look-up'!$I$4,$V322-4,0))</f>
        <v/>
      </c>
      <c r="K322" s="216"/>
      <c r="L322" s="216"/>
      <c r="M322" s="216"/>
      <c r="N322" s="216"/>
      <c r="O322" s="216"/>
      <c r="P322" s="178"/>
      <c r="Q322" s="217"/>
      <c r="R322" s="175" t="str">
        <f ca="1">IF(ISERROR($V322),"",OFFSET('Smelter Look-up'!$C$4,$V322-4,0)&amp;"")</f>
        <v/>
      </c>
      <c r="S322" s="174" t="str">
        <f t="shared" ca="1" si="42"/>
        <v/>
      </c>
      <c r="T322" s="174" t="str">
        <f ca="1">IF(B322="","",IF(ISERROR(MATCH($J322,SorP!$B$1:$B$6279,0)),"",INDIRECT("'SorP'!$A$"&amp;MATCH($S322&amp;$J322,SorP!C:C,0))))</f>
        <v/>
      </c>
      <c r="U322" s="194"/>
      <c r="V322" s="218" t="e">
        <f>IF(C322="",NA(),IF(OR(C322="Smelter not listed",C322="Smelter not yet identified"),MATCH($B322&amp;$D322,'Smelter Look-up'!$J:$J,0),MATCH($B322&amp;$C322,'Smelter Look-up'!$J:$J,0)))</f>
        <v>#N/A</v>
      </c>
      <c r="X322" s="219">
        <f t="shared" ca="1" si="43"/>
        <v>0</v>
      </c>
      <c r="AB322" s="220" t="str">
        <f t="shared" si="44"/>
        <v/>
      </c>
    </row>
    <row r="323" spans="1:28" s="219" customFormat="1" ht="20.25">
      <c r="A323" s="174"/>
      <c r="B323" s="175" t="str">
        <f>IF(LEN(A323)=0,"",INDEX('Smelter Look-up'!$A:$A,MATCH($A323,'Smelter Look-up'!$E:$E,0)))</f>
        <v/>
      </c>
      <c r="C323" s="179" t="str">
        <f>IF(LEN(A323)=0,"",INDEX('Smelter Look-up'!$C:$C,MATCH($A323,'Smelter Look-up'!$E:$E,0)))</f>
        <v/>
      </c>
      <c r="D323" s="222"/>
      <c r="E323" s="175" t="str">
        <f ca="1">IF(ISERROR($V323),"",OFFSET('Smelter Look-up'!$D$4,$V323-4,0)&amp;"")</f>
        <v/>
      </c>
      <c r="F323" s="175" t="str">
        <f ca="1">IF(ISERROR($V323),"",OFFSET('Smelter Look-up'!$E$4,$V323-4,0))</f>
        <v/>
      </c>
      <c r="G323" s="175" t="str">
        <f ca="1">IF(C323=$X$4,IF(ISERROR($V323),"Enter smelter details","RMI"),IF(ISERROR($V323),"",OFFSET('Smelter Look-up'!$F$4,$V323-4,0)))</f>
        <v/>
      </c>
      <c r="H323" s="176" t="str">
        <f ca="1">IF(ISERROR($V323),"",OFFSET('Smelter Look-up'!$G$4,$V323-4,0))</f>
        <v/>
      </c>
      <c r="I323" s="177" t="str">
        <f ca="1">IF(ISERROR($V323),"",OFFSET('Smelter Look-up'!$H$4,$V323-4,0))</f>
        <v/>
      </c>
      <c r="J323" s="177" t="str">
        <f ca="1">IF(ISERROR($V323),"",OFFSET('Smelter Look-up'!$I$4,$V323-4,0))</f>
        <v/>
      </c>
      <c r="K323" s="216"/>
      <c r="L323" s="216"/>
      <c r="M323" s="216"/>
      <c r="N323" s="216"/>
      <c r="O323" s="216"/>
      <c r="P323" s="178"/>
      <c r="Q323" s="217"/>
      <c r="R323" s="175" t="str">
        <f ca="1">IF(ISERROR($V323),"",OFFSET('Smelter Look-up'!$C$4,$V323-4,0)&amp;"")</f>
        <v/>
      </c>
      <c r="S323" s="174" t="str">
        <f t="shared" ca="1" si="42"/>
        <v/>
      </c>
      <c r="T323" s="174" t="str">
        <f ca="1">IF(B323="","",IF(ISERROR(MATCH($J323,SorP!$B$1:$B$6279,0)),"",INDIRECT("'SorP'!$A$"&amp;MATCH($S323&amp;$J323,SorP!C:C,0))))</f>
        <v/>
      </c>
      <c r="U323" s="194"/>
      <c r="V323" s="218" t="e">
        <f>IF(C323="",NA(),IF(OR(C323="Smelter not listed",C323="Smelter not yet identified"),MATCH($B323&amp;$D323,'Smelter Look-up'!$J:$J,0),MATCH($B323&amp;$C323,'Smelter Look-up'!$J:$J,0)))</f>
        <v>#N/A</v>
      </c>
      <c r="X323" s="219">
        <f t="shared" ca="1" si="43"/>
        <v>0</v>
      </c>
      <c r="AB323" s="220" t="str">
        <f t="shared" si="44"/>
        <v/>
      </c>
    </row>
    <row r="324" spans="1:28" s="219" customFormat="1" ht="20.25">
      <c r="A324" s="174"/>
      <c r="B324" s="175" t="str">
        <f>IF(LEN(A324)=0,"",INDEX('Smelter Look-up'!$A:$A,MATCH($A324,'Smelter Look-up'!$E:$E,0)))</f>
        <v/>
      </c>
      <c r="C324" s="179" t="str">
        <f>IF(LEN(A324)=0,"",INDEX('Smelter Look-up'!$C:$C,MATCH($A324,'Smelter Look-up'!$E:$E,0)))</f>
        <v/>
      </c>
      <c r="D324" s="222"/>
      <c r="E324" s="175" t="str">
        <f ca="1">IF(ISERROR($V324),"",OFFSET('Smelter Look-up'!$D$4,$V324-4,0)&amp;"")</f>
        <v/>
      </c>
      <c r="F324" s="175" t="str">
        <f ca="1">IF(ISERROR($V324),"",OFFSET('Smelter Look-up'!$E$4,$V324-4,0))</f>
        <v/>
      </c>
      <c r="G324" s="175" t="str">
        <f ca="1">IF(C324=$X$4,IF(ISERROR($V324),"Enter smelter details","RMI"),IF(ISERROR($V324),"",OFFSET('Smelter Look-up'!$F$4,$V324-4,0)))</f>
        <v/>
      </c>
      <c r="H324" s="176" t="str">
        <f ca="1">IF(ISERROR($V324),"",OFFSET('Smelter Look-up'!$G$4,$V324-4,0))</f>
        <v/>
      </c>
      <c r="I324" s="177" t="str">
        <f ca="1">IF(ISERROR($V324),"",OFFSET('Smelter Look-up'!$H$4,$V324-4,0))</f>
        <v/>
      </c>
      <c r="J324" s="177" t="str">
        <f ca="1">IF(ISERROR($V324),"",OFFSET('Smelter Look-up'!$I$4,$V324-4,0))</f>
        <v/>
      </c>
      <c r="K324" s="216"/>
      <c r="L324" s="216"/>
      <c r="M324" s="216"/>
      <c r="N324" s="216"/>
      <c r="O324" s="216"/>
      <c r="P324" s="178"/>
      <c r="Q324" s="217"/>
      <c r="R324" s="175" t="str">
        <f ca="1">IF(ISERROR($V324),"",OFFSET('Smelter Look-up'!$C$4,$V324-4,0)&amp;"")</f>
        <v/>
      </c>
      <c r="S324" s="174" t="str">
        <f t="shared" ca="1" si="42"/>
        <v/>
      </c>
      <c r="T324" s="174" t="str">
        <f ca="1">IF(B324="","",IF(ISERROR(MATCH($J324,SorP!$B$1:$B$6279,0)),"",INDIRECT("'SorP'!$A$"&amp;MATCH($S324&amp;$J324,SorP!C:C,0))))</f>
        <v/>
      </c>
      <c r="U324" s="194"/>
      <c r="V324" s="218" t="e">
        <f>IF(C324="",NA(),IF(OR(C324="Smelter not listed",C324="Smelter not yet identified"),MATCH($B324&amp;$D324,'Smelter Look-up'!$J:$J,0),MATCH($B324&amp;$C324,'Smelter Look-up'!$J:$J,0)))</f>
        <v>#N/A</v>
      </c>
      <c r="X324" s="219">
        <f t="shared" ca="1" si="43"/>
        <v>0</v>
      </c>
      <c r="AB324" s="220" t="str">
        <f t="shared" si="44"/>
        <v/>
      </c>
    </row>
    <row r="325" spans="1:28" s="219" customFormat="1" ht="20.25">
      <c r="A325" s="174"/>
      <c r="B325" s="175" t="str">
        <f>IF(LEN(A325)=0,"",INDEX('Smelter Look-up'!$A:$A,MATCH($A325,'Smelter Look-up'!$E:$E,0)))</f>
        <v/>
      </c>
      <c r="C325" s="179" t="str">
        <f>IF(LEN(A325)=0,"",INDEX('Smelter Look-up'!$C:$C,MATCH($A325,'Smelter Look-up'!$E:$E,0)))</f>
        <v/>
      </c>
      <c r="D325" s="222"/>
      <c r="E325" s="175" t="str">
        <f ca="1">IF(ISERROR($V325),"",OFFSET('Smelter Look-up'!$D$4,$V325-4,0)&amp;"")</f>
        <v/>
      </c>
      <c r="F325" s="175" t="str">
        <f ca="1">IF(ISERROR($V325),"",OFFSET('Smelter Look-up'!$E$4,$V325-4,0))</f>
        <v/>
      </c>
      <c r="G325" s="175" t="str">
        <f ca="1">IF(C325=$X$4,IF(ISERROR($V325),"Enter smelter details","RMI"),IF(ISERROR($V325),"",OFFSET('Smelter Look-up'!$F$4,$V325-4,0)))</f>
        <v/>
      </c>
      <c r="H325" s="176" t="str">
        <f ca="1">IF(ISERROR($V325),"",OFFSET('Smelter Look-up'!$G$4,$V325-4,0))</f>
        <v/>
      </c>
      <c r="I325" s="177" t="str">
        <f ca="1">IF(ISERROR($V325),"",OFFSET('Smelter Look-up'!$H$4,$V325-4,0))</f>
        <v/>
      </c>
      <c r="J325" s="177" t="str">
        <f ca="1">IF(ISERROR($V325),"",OFFSET('Smelter Look-up'!$I$4,$V325-4,0))</f>
        <v/>
      </c>
      <c r="K325" s="216"/>
      <c r="L325" s="216"/>
      <c r="M325" s="216"/>
      <c r="N325" s="216"/>
      <c r="O325" s="216"/>
      <c r="P325" s="178"/>
      <c r="Q325" s="217"/>
      <c r="R325" s="175" t="str">
        <f ca="1">IF(ISERROR($V325),"",OFFSET('Smelter Look-up'!$C$4,$V325-4,0)&amp;"")</f>
        <v/>
      </c>
      <c r="S325" s="174" t="str">
        <f t="shared" ref="S325" ca="1" si="45">IF(B325="","",IF(ISERROR(MATCH($E325,CL,0)),"Unknown",INDIRECT("'C'!$A$"&amp;MATCH($E325,CL,0)+1)))</f>
        <v/>
      </c>
      <c r="T325" s="174" t="str">
        <f ca="1">IF(B325="","",IF(ISERROR(MATCH($J325,SorP!$B$1:$B$6279,0)),"",INDIRECT("'SorP'!$A$"&amp;MATCH($S325&amp;$J325,SorP!C:C,0))))</f>
        <v/>
      </c>
      <c r="U325" s="194"/>
      <c r="V325" s="218" t="e">
        <f>IF(C325="",NA(),IF(OR(C325="Smelter not listed",C325="Smelter not yet identified"),MATCH($B325&amp;$D325,'Smelter Look-up'!$J:$J,0),MATCH($B325&amp;$C325,'Smelter Look-up'!$J:$J,0)))</f>
        <v>#N/A</v>
      </c>
      <c r="X325" s="219">
        <f t="shared" ref="X325" ca="1" si="46">IF(AND(C325="Smelter not listed",OR(LEN(D325)=0,LEN(E325)=0)),1,0)</f>
        <v>0</v>
      </c>
      <c r="AB325" s="220" t="str">
        <f t="shared" ref="AB325" si="47">B325&amp;C325</f>
        <v/>
      </c>
    </row>
    <row r="326" spans="1:28" s="219" customFormat="1" ht="20.25">
      <c r="A326" s="174"/>
      <c r="B326" s="175" t="str">
        <f>IF(LEN(A326)=0,"",INDEX('Smelter Look-up'!$A:$A,MATCH($A326,'Smelter Look-up'!$E:$E,0)))</f>
        <v/>
      </c>
      <c r="C326" s="179" t="str">
        <f>IF(LEN(A326)=0,"",INDEX('Smelter Look-up'!$C:$C,MATCH($A326,'Smelter Look-up'!$E:$E,0)))</f>
        <v/>
      </c>
      <c r="D326" s="222"/>
      <c r="E326" s="175" t="str">
        <f ca="1">IF(ISERROR($V326),"",OFFSET('Smelter Look-up'!$D$4,$V326-4,0)&amp;"")</f>
        <v/>
      </c>
      <c r="F326" s="175" t="str">
        <f ca="1">IF(ISERROR($V326),"",OFFSET('Smelter Look-up'!$E$4,$V326-4,0))</f>
        <v/>
      </c>
      <c r="G326" s="175" t="str">
        <f ca="1">IF(C326=$X$4,IF(ISERROR($V326),"Enter smelter details","RMI"),IF(ISERROR($V326),"",OFFSET('Smelter Look-up'!$F$4,$V326-4,0)))</f>
        <v/>
      </c>
      <c r="H326" s="176" t="str">
        <f ca="1">IF(ISERROR($V326),"",OFFSET('Smelter Look-up'!$G$4,$V326-4,0))</f>
        <v/>
      </c>
      <c r="I326" s="177" t="str">
        <f ca="1">IF(ISERROR($V326),"",OFFSET('Smelter Look-up'!$H$4,$V326-4,0))</f>
        <v/>
      </c>
      <c r="J326" s="177" t="str">
        <f ca="1">IF(ISERROR($V326),"",OFFSET('Smelter Look-up'!$I$4,$V326-4,0))</f>
        <v/>
      </c>
      <c r="K326" s="216"/>
      <c r="L326" s="216"/>
      <c r="M326" s="216"/>
      <c r="N326" s="216"/>
      <c r="O326" s="216"/>
      <c r="P326" s="178"/>
      <c r="Q326" s="217"/>
      <c r="R326" s="175" t="str">
        <f ca="1">IF(ISERROR($V326),"",OFFSET('Smelter Look-up'!$C$4,$V326-4,0)&amp;"")</f>
        <v/>
      </c>
      <c r="S326" s="174" t="str">
        <f t="shared" ref="S326:S357" ca="1" si="48">IF(B326="","",IF(ISERROR(MATCH($E326,CL,0)),"Unknown",INDIRECT("'C'!$A$"&amp;MATCH($E326,CL,0)+1)))</f>
        <v/>
      </c>
      <c r="T326" s="174" t="str">
        <f ca="1">IF(B326="","",IF(ISERROR(MATCH($J326,SorP!$B$1:$B$6279,0)),"",INDIRECT("'SorP'!$A$"&amp;MATCH($S326&amp;$J326,SorP!C:C,0))))</f>
        <v/>
      </c>
      <c r="U326" s="194"/>
      <c r="V326" s="218" t="e">
        <f>IF(C326="",NA(),IF(OR(C326="Smelter not listed",C326="Smelter not yet identified"),MATCH($B326&amp;$D326,'Smelter Look-up'!$J:$J,0),MATCH($B326&amp;$C326,'Smelter Look-up'!$J:$J,0)))</f>
        <v>#N/A</v>
      </c>
      <c r="X326" s="219">
        <f t="shared" ref="X326:X357" ca="1" si="49">IF(AND(C326="Smelter not listed",OR(LEN(D326)=0,LEN(E326)=0)),1,0)</f>
        <v>0</v>
      </c>
      <c r="AB326" s="220" t="str">
        <f t="shared" ref="AB326:AB357" si="50">B326&amp;C326</f>
        <v/>
      </c>
    </row>
    <row r="327" spans="1:28" s="219" customFormat="1" ht="20.25">
      <c r="A327" s="174"/>
      <c r="B327" s="175" t="str">
        <f>IF(LEN(A327)=0,"",INDEX('Smelter Look-up'!$A:$A,MATCH($A327,'Smelter Look-up'!$E:$E,0)))</f>
        <v/>
      </c>
      <c r="C327" s="179" t="str">
        <f>IF(LEN(A327)=0,"",INDEX('Smelter Look-up'!$C:$C,MATCH($A327,'Smelter Look-up'!$E:$E,0)))</f>
        <v/>
      </c>
      <c r="D327" s="222"/>
      <c r="E327" s="175" t="str">
        <f ca="1">IF(ISERROR($V327),"",OFFSET('Smelter Look-up'!$D$4,$V327-4,0)&amp;"")</f>
        <v/>
      </c>
      <c r="F327" s="175" t="str">
        <f ca="1">IF(ISERROR($V327),"",OFFSET('Smelter Look-up'!$E$4,$V327-4,0))</f>
        <v/>
      </c>
      <c r="G327" s="175" t="str">
        <f ca="1">IF(C327=$X$4,IF(ISERROR($V327),"Enter smelter details","RMI"),IF(ISERROR($V327),"",OFFSET('Smelter Look-up'!$F$4,$V327-4,0)))</f>
        <v/>
      </c>
      <c r="H327" s="176" t="str">
        <f ca="1">IF(ISERROR($V327),"",OFFSET('Smelter Look-up'!$G$4,$V327-4,0))</f>
        <v/>
      </c>
      <c r="I327" s="177" t="str">
        <f ca="1">IF(ISERROR($V327),"",OFFSET('Smelter Look-up'!$H$4,$V327-4,0))</f>
        <v/>
      </c>
      <c r="J327" s="177" t="str">
        <f ca="1">IF(ISERROR($V327),"",OFFSET('Smelter Look-up'!$I$4,$V327-4,0))</f>
        <v/>
      </c>
      <c r="K327" s="216"/>
      <c r="L327" s="216"/>
      <c r="M327" s="216"/>
      <c r="N327" s="216"/>
      <c r="O327" s="216"/>
      <c r="P327" s="178"/>
      <c r="Q327" s="217"/>
      <c r="R327" s="175" t="str">
        <f ca="1">IF(ISERROR($V327),"",OFFSET('Smelter Look-up'!$C$4,$V327-4,0)&amp;"")</f>
        <v/>
      </c>
      <c r="S327" s="174" t="str">
        <f t="shared" ca="1" si="48"/>
        <v/>
      </c>
      <c r="T327" s="174" t="str">
        <f ca="1">IF(B327="","",IF(ISERROR(MATCH($J327,SorP!$B$1:$B$6279,0)),"",INDIRECT("'SorP'!$A$"&amp;MATCH($S327&amp;$J327,SorP!C:C,0))))</f>
        <v/>
      </c>
      <c r="U327" s="194"/>
      <c r="V327" s="218" t="e">
        <f>IF(C327="",NA(),IF(OR(C327="Smelter not listed",C327="Smelter not yet identified"),MATCH($B327&amp;$D327,'Smelter Look-up'!$J:$J,0),MATCH($B327&amp;$C327,'Smelter Look-up'!$J:$J,0)))</f>
        <v>#N/A</v>
      </c>
      <c r="X327" s="219">
        <f t="shared" ca="1" si="49"/>
        <v>0</v>
      </c>
      <c r="AB327" s="220" t="str">
        <f t="shared" si="50"/>
        <v/>
      </c>
    </row>
    <row r="328" spans="1:28" s="219" customFormat="1" ht="20.25">
      <c r="A328" s="174"/>
      <c r="B328" s="175" t="str">
        <f>IF(LEN(A328)=0,"",INDEX('Smelter Look-up'!$A:$A,MATCH($A328,'Smelter Look-up'!$E:$E,0)))</f>
        <v/>
      </c>
      <c r="C328" s="179" t="str">
        <f>IF(LEN(A328)=0,"",INDEX('Smelter Look-up'!$C:$C,MATCH($A328,'Smelter Look-up'!$E:$E,0)))</f>
        <v/>
      </c>
      <c r="D328" s="222"/>
      <c r="E328" s="175" t="str">
        <f ca="1">IF(ISERROR($V328),"",OFFSET('Smelter Look-up'!$D$4,$V328-4,0)&amp;"")</f>
        <v/>
      </c>
      <c r="F328" s="175" t="str">
        <f ca="1">IF(ISERROR($V328),"",OFFSET('Smelter Look-up'!$E$4,$V328-4,0))</f>
        <v/>
      </c>
      <c r="G328" s="175" t="str">
        <f ca="1">IF(C328=$X$4,IF(ISERROR($V328),"Enter smelter details","RMI"),IF(ISERROR($V328),"",OFFSET('Smelter Look-up'!$F$4,$V328-4,0)))</f>
        <v/>
      </c>
      <c r="H328" s="176" t="str">
        <f ca="1">IF(ISERROR($V328),"",OFFSET('Smelter Look-up'!$G$4,$V328-4,0))</f>
        <v/>
      </c>
      <c r="I328" s="177" t="str">
        <f ca="1">IF(ISERROR($V328),"",OFFSET('Smelter Look-up'!$H$4,$V328-4,0))</f>
        <v/>
      </c>
      <c r="J328" s="177" t="str">
        <f ca="1">IF(ISERROR($V328),"",OFFSET('Smelter Look-up'!$I$4,$V328-4,0))</f>
        <v/>
      </c>
      <c r="K328" s="216"/>
      <c r="L328" s="216"/>
      <c r="M328" s="216"/>
      <c r="N328" s="216"/>
      <c r="O328" s="216"/>
      <c r="P328" s="178"/>
      <c r="Q328" s="217"/>
      <c r="R328" s="175" t="str">
        <f ca="1">IF(ISERROR($V328),"",OFFSET('Smelter Look-up'!$C$4,$V328-4,0)&amp;"")</f>
        <v/>
      </c>
      <c r="S328" s="174" t="str">
        <f t="shared" ca="1" si="48"/>
        <v/>
      </c>
      <c r="T328" s="174" t="str">
        <f ca="1">IF(B328="","",IF(ISERROR(MATCH($J328,SorP!$B$1:$B$6279,0)),"",INDIRECT("'SorP'!$A$"&amp;MATCH($S328&amp;$J328,SorP!C:C,0))))</f>
        <v/>
      </c>
      <c r="U328" s="194"/>
      <c r="V328" s="218" t="e">
        <f>IF(C328="",NA(),IF(OR(C328="Smelter not listed",C328="Smelter not yet identified"),MATCH($B328&amp;$D328,'Smelter Look-up'!$J:$J,0),MATCH($B328&amp;$C328,'Smelter Look-up'!$J:$J,0)))</f>
        <v>#N/A</v>
      </c>
      <c r="X328" s="219">
        <f t="shared" ca="1" si="49"/>
        <v>0</v>
      </c>
      <c r="AB328" s="220" t="str">
        <f t="shared" si="50"/>
        <v/>
      </c>
    </row>
    <row r="329" spans="1:28" s="219" customFormat="1" ht="20.25">
      <c r="A329" s="174"/>
      <c r="B329" s="175" t="str">
        <f>IF(LEN(A329)=0,"",INDEX('Smelter Look-up'!$A:$A,MATCH($A329,'Smelter Look-up'!$E:$E,0)))</f>
        <v/>
      </c>
      <c r="C329" s="179" t="str">
        <f>IF(LEN(A329)=0,"",INDEX('Smelter Look-up'!$C:$C,MATCH($A329,'Smelter Look-up'!$E:$E,0)))</f>
        <v/>
      </c>
      <c r="D329" s="222"/>
      <c r="E329" s="175" t="str">
        <f ca="1">IF(ISERROR($V329),"",OFFSET('Smelter Look-up'!$D$4,$V329-4,0)&amp;"")</f>
        <v/>
      </c>
      <c r="F329" s="175" t="str">
        <f ca="1">IF(ISERROR($V329),"",OFFSET('Smelter Look-up'!$E$4,$V329-4,0))</f>
        <v/>
      </c>
      <c r="G329" s="175" t="str">
        <f ca="1">IF(C329=$X$4,IF(ISERROR($V329),"Enter smelter details","RMI"),IF(ISERROR($V329),"",OFFSET('Smelter Look-up'!$F$4,$V329-4,0)))</f>
        <v/>
      </c>
      <c r="H329" s="176" t="str">
        <f ca="1">IF(ISERROR($V329),"",OFFSET('Smelter Look-up'!$G$4,$V329-4,0))</f>
        <v/>
      </c>
      <c r="I329" s="177" t="str">
        <f ca="1">IF(ISERROR($V329),"",OFFSET('Smelter Look-up'!$H$4,$V329-4,0))</f>
        <v/>
      </c>
      <c r="J329" s="177" t="str">
        <f ca="1">IF(ISERROR($V329),"",OFFSET('Smelter Look-up'!$I$4,$V329-4,0))</f>
        <v/>
      </c>
      <c r="K329" s="216"/>
      <c r="L329" s="216"/>
      <c r="M329" s="216"/>
      <c r="N329" s="216"/>
      <c r="O329" s="216"/>
      <c r="P329" s="178"/>
      <c r="Q329" s="217"/>
      <c r="R329" s="175" t="str">
        <f ca="1">IF(ISERROR($V329),"",OFFSET('Smelter Look-up'!$C$4,$V329-4,0)&amp;"")</f>
        <v/>
      </c>
      <c r="S329" s="174" t="str">
        <f t="shared" ca="1" si="48"/>
        <v/>
      </c>
      <c r="T329" s="174" t="str">
        <f ca="1">IF(B329="","",IF(ISERROR(MATCH($J329,SorP!$B$1:$B$6279,0)),"",INDIRECT("'SorP'!$A$"&amp;MATCH($S329&amp;$J329,SorP!C:C,0))))</f>
        <v/>
      </c>
      <c r="U329" s="194"/>
      <c r="V329" s="218" t="e">
        <f>IF(C329="",NA(),IF(OR(C329="Smelter not listed",C329="Smelter not yet identified"),MATCH($B329&amp;$D329,'Smelter Look-up'!$J:$J,0),MATCH($B329&amp;$C329,'Smelter Look-up'!$J:$J,0)))</f>
        <v>#N/A</v>
      </c>
      <c r="X329" s="219">
        <f t="shared" ca="1" si="49"/>
        <v>0</v>
      </c>
      <c r="AB329" s="220" t="str">
        <f t="shared" si="50"/>
        <v/>
      </c>
    </row>
    <row r="330" spans="1:28" s="219" customFormat="1" ht="20.25">
      <c r="A330" s="174"/>
      <c r="B330" s="175" t="str">
        <f>IF(LEN(A330)=0,"",INDEX('Smelter Look-up'!$A:$A,MATCH($A330,'Smelter Look-up'!$E:$E,0)))</f>
        <v/>
      </c>
      <c r="C330" s="179" t="str">
        <f>IF(LEN(A330)=0,"",INDEX('Smelter Look-up'!$C:$C,MATCH($A330,'Smelter Look-up'!$E:$E,0)))</f>
        <v/>
      </c>
      <c r="D330" s="222"/>
      <c r="E330" s="175" t="str">
        <f ca="1">IF(ISERROR($V330),"",OFFSET('Smelter Look-up'!$D$4,$V330-4,0)&amp;"")</f>
        <v/>
      </c>
      <c r="F330" s="175" t="str">
        <f ca="1">IF(ISERROR($V330),"",OFFSET('Smelter Look-up'!$E$4,$V330-4,0))</f>
        <v/>
      </c>
      <c r="G330" s="175" t="str">
        <f ca="1">IF(C330=$X$4,IF(ISERROR($V330),"Enter smelter details","RMI"),IF(ISERROR($V330),"",OFFSET('Smelter Look-up'!$F$4,$V330-4,0)))</f>
        <v/>
      </c>
      <c r="H330" s="176" t="str">
        <f ca="1">IF(ISERROR($V330),"",OFFSET('Smelter Look-up'!$G$4,$V330-4,0))</f>
        <v/>
      </c>
      <c r="I330" s="177" t="str">
        <f ca="1">IF(ISERROR($V330),"",OFFSET('Smelter Look-up'!$H$4,$V330-4,0))</f>
        <v/>
      </c>
      <c r="J330" s="177" t="str">
        <f ca="1">IF(ISERROR($V330),"",OFFSET('Smelter Look-up'!$I$4,$V330-4,0))</f>
        <v/>
      </c>
      <c r="K330" s="216"/>
      <c r="L330" s="216"/>
      <c r="M330" s="216"/>
      <c r="N330" s="216"/>
      <c r="O330" s="216"/>
      <c r="P330" s="178"/>
      <c r="Q330" s="217"/>
      <c r="R330" s="175" t="str">
        <f ca="1">IF(ISERROR($V330),"",OFFSET('Smelter Look-up'!$C$4,$V330-4,0)&amp;"")</f>
        <v/>
      </c>
      <c r="S330" s="174" t="str">
        <f t="shared" ca="1" si="48"/>
        <v/>
      </c>
      <c r="T330" s="174" t="str">
        <f ca="1">IF(B330="","",IF(ISERROR(MATCH($J330,SorP!$B$1:$B$6279,0)),"",INDIRECT("'SorP'!$A$"&amp;MATCH($S330&amp;$J330,SorP!C:C,0))))</f>
        <v/>
      </c>
      <c r="U330" s="194"/>
      <c r="V330" s="218" t="e">
        <f>IF(C330="",NA(),IF(OR(C330="Smelter not listed",C330="Smelter not yet identified"),MATCH($B330&amp;$D330,'Smelter Look-up'!$J:$J,0),MATCH($B330&amp;$C330,'Smelter Look-up'!$J:$J,0)))</f>
        <v>#N/A</v>
      </c>
      <c r="X330" s="219">
        <f t="shared" ca="1" si="49"/>
        <v>0</v>
      </c>
      <c r="AB330" s="220" t="str">
        <f t="shared" si="50"/>
        <v/>
      </c>
    </row>
    <row r="331" spans="1:28" s="219" customFormat="1" ht="20.25">
      <c r="A331" s="174"/>
      <c r="B331" s="175" t="str">
        <f>IF(LEN(A331)=0,"",INDEX('Smelter Look-up'!$A:$A,MATCH($A331,'Smelter Look-up'!$E:$E,0)))</f>
        <v/>
      </c>
      <c r="C331" s="179" t="str">
        <f>IF(LEN(A331)=0,"",INDEX('Smelter Look-up'!$C:$C,MATCH($A331,'Smelter Look-up'!$E:$E,0)))</f>
        <v/>
      </c>
      <c r="D331" s="222"/>
      <c r="E331" s="175" t="str">
        <f ca="1">IF(ISERROR($V331),"",OFFSET('Smelter Look-up'!$D$4,$V331-4,0)&amp;"")</f>
        <v/>
      </c>
      <c r="F331" s="175" t="str">
        <f ca="1">IF(ISERROR($V331),"",OFFSET('Smelter Look-up'!$E$4,$V331-4,0))</f>
        <v/>
      </c>
      <c r="G331" s="175" t="str">
        <f ca="1">IF(C331=$X$4,IF(ISERROR($V331),"Enter smelter details","RMI"),IF(ISERROR($V331),"",OFFSET('Smelter Look-up'!$F$4,$V331-4,0)))</f>
        <v/>
      </c>
      <c r="H331" s="176" t="str">
        <f ca="1">IF(ISERROR($V331),"",OFFSET('Smelter Look-up'!$G$4,$V331-4,0))</f>
        <v/>
      </c>
      <c r="I331" s="177" t="str">
        <f ca="1">IF(ISERROR($V331),"",OFFSET('Smelter Look-up'!$H$4,$V331-4,0))</f>
        <v/>
      </c>
      <c r="J331" s="177" t="str">
        <f ca="1">IF(ISERROR($V331),"",OFFSET('Smelter Look-up'!$I$4,$V331-4,0))</f>
        <v/>
      </c>
      <c r="K331" s="216"/>
      <c r="L331" s="216"/>
      <c r="M331" s="216"/>
      <c r="N331" s="216"/>
      <c r="O331" s="216"/>
      <c r="P331" s="178"/>
      <c r="Q331" s="217"/>
      <c r="R331" s="175" t="str">
        <f ca="1">IF(ISERROR($V331),"",OFFSET('Smelter Look-up'!$C$4,$V331-4,0)&amp;"")</f>
        <v/>
      </c>
      <c r="S331" s="174" t="str">
        <f t="shared" ca="1" si="48"/>
        <v/>
      </c>
      <c r="T331" s="174" t="str">
        <f ca="1">IF(B331="","",IF(ISERROR(MATCH($J331,SorP!$B$1:$B$6279,0)),"",INDIRECT("'SorP'!$A$"&amp;MATCH($S331&amp;$J331,SorP!C:C,0))))</f>
        <v/>
      </c>
      <c r="U331" s="194"/>
      <c r="V331" s="218" t="e">
        <f>IF(C331="",NA(),IF(OR(C331="Smelter not listed",C331="Smelter not yet identified"),MATCH($B331&amp;$D331,'Smelter Look-up'!$J:$J,0),MATCH($B331&amp;$C331,'Smelter Look-up'!$J:$J,0)))</f>
        <v>#N/A</v>
      </c>
      <c r="X331" s="219">
        <f t="shared" ca="1" si="49"/>
        <v>0</v>
      </c>
      <c r="AB331" s="220" t="str">
        <f t="shared" si="50"/>
        <v/>
      </c>
    </row>
    <row r="332" spans="1:28" s="219" customFormat="1" ht="20.25">
      <c r="A332" s="174"/>
      <c r="B332" s="175" t="str">
        <f>IF(LEN(A332)=0,"",INDEX('Smelter Look-up'!$A:$A,MATCH($A332,'Smelter Look-up'!$E:$E,0)))</f>
        <v/>
      </c>
      <c r="C332" s="179" t="str">
        <f>IF(LEN(A332)=0,"",INDEX('Smelter Look-up'!$C:$C,MATCH($A332,'Smelter Look-up'!$E:$E,0)))</f>
        <v/>
      </c>
      <c r="D332" s="222"/>
      <c r="E332" s="175" t="str">
        <f ca="1">IF(ISERROR($V332),"",OFFSET('Smelter Look-up'!$D$4,$V332-4,0)&amp;"")</f>
        <v/>
      </c>
      <c r="F332" s="175" t="str">
        <f ca="1">IF(ISERROR($V332),"",OFFSET('Smelter Look-up'!$E$4,$V332-4,0))</f>
        <v/>
      </c>
      <c r="G332" s="175" t="str">
        <f ca="1">IF(C332=$X$4,IF(ISERROR($V332),"Enter smelter details","RMI"),IF(ISERROR($V332),"",OFFSET('Smelter Look-up'!$F$4,$V332-4,0)))</f>
        <v/>
      </c>
      <c r="H332" s="176" t="str">
        <f ca="1">IF(ISERROR($V332),"",OFFSET('Smelter Look-up'!$G$4,$V332-4,0))</f>
        <v/>
      </c>
      <c r="I332" s="177" t="str">
        <f ca="1">IF(ISERROR($V332),"",OFFSET('Smelter Look-up'!$H$4,$V332-4,0))</f>
        <v/>
      </c>
      <c r="J332" s="177" t="str">
        <f ca="1">IF(ISERROR($V332),"",OFFSET('Smelter Look-up'!$I$4,$V332-4,0))</f>
        <v/>
      </c>
      <c r="K332" s="216"/>
      <c r="L332" s="216"/>
      <c r="M332" s="216"/>
      <c r="N332" s="216"/>
      <c r="O332" s="216"/>
      <c r="P332" s="178"/>
      <c r="Q332" s="217"/>
      <c r="R332" s="175" t="str">
        <f ca="1">IF(ISERROR($V332),"",OFFSET('Smelter Look-up'!$C$4,$V332-4,0)&amp;"")</f>
        <v/>
      </c>
      <c r="S332" s="174" t="str">
        <f t="shared" ca="1" si="48"/>
        <v/>
      </c>
      <c r="T332" s="174" t="str">
        <f ca="1">IF(B332="","",IF(ISERROR(MATCH($J332,SorP!$B$1:$B$6279,0)),"",INDIRECT("'SorP'!$A$"&amp;MATCH($S332&amp;$J332,SorP!C:C,0))))</f>
        <v/>
      </c>
      <c r="U332" s="194"/>
      <c r="V332" s="218" t="e">
        <f>IF(C332="",NA(),IF(OR(C332="Smelter not listed",C332="Smelter not yet identified"),MATCH($B332&amp;$D332,'Smelter Look-up'!$J:$J,0),MATCH($B332&amp;$C332,'Smelter Look-up'!$J:$J,0)))</f>
        <v>#N/A</v>
      </c>
      <c r="X332" s="219">
        <f t="shared" ca="1" si="49"/>
        <v>0</v>
      </c>
      <c r="AB332" s="220" t="str">
        <f t="shared" si="50"/>
        <v/>
      </c>
    </row>
    <row r="333" spans="1:28" s="219" customFormat="1" ht="20.25">
      <c r="A333" s="174"/>
      <c r="B333" s="175" t="str">
        <f>IF(LEN(A333)=0,"",INDEX('Smelter Look-up'!$A:$A,MATCH($A333,'Smelter Look-up'!$E:$E,0)))</f>
        <v/>
      </c>
      <c r="C333" s="179" t="str">
        <f>IF(LEN(A333)=0,"",INDEX('Smelter Look-up'!$C:$C,MATCH($A333,'Smelter Look-up'!$E:$E,0)))</f>
        <v/>
      </c>
      <c r="D333" s="222"/>
      <c r="E333" s="175" t="str">
        <f ca="1">IF(ISERROR($V333),"",OFFSET('Smelter Look-up'!$D$4,$V333-4,0)&amp;"")</f>
        <v/>
      </c>
      <c r="F333" s="175" t="str">
        <f ca="1">IF(ISERROR($V333),"",OFFSET('Smelter Look-up'!$E$4,$V333-4,0))</f>
        <v/>
      </c>
      <c r="G333" s="175" t="str">
        <f ca="1">IF(C333=$X$4,IF(ISERROR($V333),"Enter smelter details","RMI"),IF(ISERROR($V333),"",OFFSET('Smelter Look-up'!$F$4,$V333-4,0)))</f>
        <v/>
      </c>
      <c r="H333" s="176" t="str">
        <f ca="1">IF(ISERROR($V333),"",OFFSET('Smelter Look-up'!$G$4,$V333-4,0))</f>
        <v/>
      </c>
      <c r="I333" s="177" t="str">
        <f ca="1">IF(ISERROR($V333),"",OFFSET('Smelter Look-up'!$H$4,$V333-4,0))</f>
        <v/>
      </c>
      <c r="J333" s="177" t="str">
        <f ca="1">IF(ISERROR($V333),"",OFFSET('Smelter Look-up'!$I$4,$V333-4,0))</f>
        <v/>
      </c>
      <c r="K333" s="216"/>
      <c r="L333" s="216"/>
      <c r="M333" s="216"/>
      <c r="N333" s="216"/>
      <c r="O333" s="216"/>
      <c r="P333" s="178"/>
      <c r="Q333" s="217"/>
      <c r="R333" s="175" t="str">
        <f ca="1">IF(ISERROR($V333),"",OFFSET('Smelter Look-up'!$C$4,$V333-4,0)&amp;"")</f>
        <v/>
      </c>
      <c r="S333" s="174" t="str">
        <f t="shared" ca="1" si="48"/>
        <v/>
      </c>
      <c r="T333" s="174" t="str">
        <f ca="1">IF(B333="","",IF(ISERROR(MATCH($J333,SorP!$B$1:$B$6279,0)),"",INDIRECT("'SorP'!$A$"&amp;MATCH($S333&amp;$J333,SorP!C:C,0))))</f>
        <v/>
      </c>
      <c r="U333" s="194"/>
      <c r="V333" s="218" t="e">
        <f>IF(C333="",NA(),IF(OR(C333="Smelter not listed",C333="Smelter not yet identified"),MATCH($B333&amp;$D333,'Smelter Look-up'!$J:$J,0),MATCH($B333&amp;$C333,'Smelter Look-up'!$J:$J,0)))</f>
        <v>#N/A</v>
      </c>
      <c r="X333" s="219">
        <f t="shared" ca="1" si="49"/>
        <v>0</v>
      </c>
      <c r="AB333" s="220" t="str">
        <f t="shared" si="50"/>
        <v/>
      </c>
    </row>
    <row r="334" spans="1:28" s="219" customFormat="1" ht="20.25">
      <c r="A334" s="174"/>
      <c r="B334" s="175" t="str">
        <f>IF(LEN(A334)=0,"",INDEX('Smelter Look-up'!$A:$A,MATCH($A334,'Smelter Look-up'!$E:$E,0)))</f>
        <v/>
      </c>
      <c r="C334" s="179" t="str">
        <f>IF(LEN(A334)=0,"",INDEX('Smelter Look-up'!$C:$C,MATCH($A334,'Smelter Look-up'!$E:$E,0)))</f>
        <v/>
      </c>
      <c r="D334" s="222"/>
      <c r="E334" s="175" t="str">
        <f ca="1">IF(ISERROR($V334),"",OFFSET('Smelter Look-up'!$D$4,$V334-4,0)&amp;"")</f>
        <v/>
      </c>
      <c r="F334" s="175" t="str">
        <f ca="1">IF(ISERROR($V334),"",OFFSET('Smelter Look-up'!$E$4,$V334-4,0))</f>
        <v/>
      </c>
      <c r="G334" s="175" t="str">
        <f ca="1">IF(C334=$X$4,IF(ISERROR($V334),"Enter smelter details","RMI"),IF(ISERROR($V334),"",OFFSET('Smelter Look-up'!$F$4,$V334-4,0)))</f>
        <v/>
      </c>
      <c r="H334" s="176" t="str">
        <f ca="1">IF(ISERROR($V334),"",OFFSET('Smelter Look-up'!$G$4,$V334-4,0))</f>
        <v/>
      </c>
      <c r="I334" s="177" t="str">
        <f ca="1">IF(ISERROR($V334),"",OFFSET('Smelter Look-up'!$H$4,$V334-4,0))</f>
        <v/>
      </c>
      <c r="J334" s="177" t="str">
        <f ca="1">IF(ISERROR($V334),"",OFFSET('Smelter Look-up'!$I$4,$V334-4,0))</f>
        <v/>
      </c>
      <c r="K334" s="216"/>
      <c r="L334" s="216"/>
      <c r="M334" s="216"/>
      <c r="N334" s="216"/>
      <c r="O334" s="216"/>
      <c r="P334" s="178"/>
      <c r="Q334" s="217"/>
      <c r="R334" s="175" t="str">
        <f ca="1">IF(ISERROR($V334),"",OFFSET('Smelter Look-up'!$C$4,$V334-4,0)&amp;"")</f>
        <v/>
      </c>
      <c r="S334" s="174" t="str">
        <f t="shared" ca="1" si="48"/>
        <v/>
      </c>
      <c r="T334" s="174" t="str">
        <f ca="1">IF(B334="","",IF(ISERROR(MATCH($J334,SorP!$B$1:$B$6279,0)),"",INDIRECT("'SorP'!$A$"&amp;MATCH($S334&amp;$J334,SorP!C:C,0))))</f>
        <v/>
      </c>
      <c r="U334" s="194"/>
      <c r="V334" s="218" t="e">
        <f>IF(C334="",NA(),IF(OR(C334="Smelter not listed",C334="Smelter not yet identified"),MATCH($B334&amp;$D334,'Smelter Look-up'!$J:$J,0),MATCH($B334&amp;$C334,'Smelter Look-up'!$J:$J,0)))</f>
        <v>#N/A</v>
      </c>
      <c r="X334" s="219">
        <f t="shared" ca="1" si="49"/>
        <v>0</v>
      </c>
      <c r="AB334" s="220" t="str">
        <f t="shared" si="50"/>
        <v/>
      </c>
    </row>
    <row r="335" spans="1:28" s="219" customFormat="1" ht="20.25">
      <c r="A335" s="174"/>
      <c r="B335" s="175" t="str">
        <f>IF(LEN(A335)=0,"",INDEX('Smelter Look-up'!$A:$A,MATCH($A335,'Smelter Look-up'!$E:$E,0)))</f>
        <v/>
      </c>
      <c r="C335" s="179" t="str">
        <f>IF(LEN(A335)=0,"",INDEX('Smelter Look-up'!$C:$C,MATCH($A335,'Smelter Look-up'!$E:$E,0)))</f>
        <v/>
      </c>
      <c r="D335" s="222"/>
      <c r="E335" s="175" t="str">
        <f ca="1">IF(ISERROR($V335),"",OFFSET('Smelter Look-up'!$D$4,$V335-4,0)&amp;"")</f>
        <v/>
      </c>
      <c r="F335" s="175" t="str">
        <f ca="1">IF(ISERROR($V335),"",OFFSET('Smelter Look-up'!$E$4,$V335-4,0))</f>
        <v/>
      </c>
      <c r="G335" s="175" t="str">
        <f ca="1">IF(C335=$X$4,IF(ISERROR($V335),"Enter smelter details","RMI"),IF(ISERROR($V335),"",OFFSET('Smelter Look-up'!$F$4,$V335-4,0)))</f>
        <v/>
      </c>
      <c r="H335" s="176" t="str">
        <f ca="1">IF(ISERROR($V335),"",OFFSET('Smelter Look-up'!$G$4,$V335-4,0))</f>
        <v/>
      </c>
      <c r="I335" s="177" t="str">
        <f ca="1">IF(ISERROR($V335),"",OFFSET('Smelter Look-up'!$H$4,$V335-4,0))</f>
        <v/>
      </c>
      <c r="J335" s="177" t="str">
        <f ca="1">IF(ISERROR($V335),"",OFFSET('Smelter Look-up'!$I$4,$V335-4,0))</f>
        <v/>
      </c>
      <c r="K335" s="216"/>
      <c r="L335" s="216"/>
      <c r="M335" s="216"/>
      <c r="N335" s="216"/>
      <c r="O335" s="216"/>
      <c r="P335" s="178"/>
      <c r="Q335" s="217"/>
      <c r="R335" s="175" t="str">
        <f ca="1">IF(ISERROR($V335),"",OFFSET('Smelter Look-up'!$C$4,$V335-4,0)&amp;"")</f>
        <v/>
      </c>
      <c r="S335" s="174" t="str">
        <f t="shared" ca="1" si="48"/>
        <v/>
      </c>
      <c r="T335" s="174" t="str">
        <f ca="1">IF(B335="","",IF(ISERROR(MATCH($J335,SorP!$B$1:$B$6279,0)),"",INDIRECT("'SorP'!$A$"&amp;MATCH($S335&amp;$J335,SorP!C:C,0))))</f>
        <v/>
      </c>
      <c r="U335" s="194"/>
      <c r="V335" s="218" t="e">
        <f>IF(C335="",NA(),IF(OR(C335="Smelter not listed",C335="Smelter not yet identified"),MATCH($B335&amp;$D335,'Smelter Look-up'!$J:$J,0),MATCH($B335&amp;$C335,'Smelter Look-up'!$J:$J,0)))</f>
        <v>#N/A</v>
      </c>
      <c r="X335" s="219">
        <f t="shared" ca="1" si="49"/>
        <v>0</v>
      </c>
      <c r="AB335" s="220" t="str">
        <f t="shared" si="50"/>
        <v/>
      </c>
    </row>
    <row r="336" spans="1:28" s="219" customFormat="1" ht="20.25">
      <c r="A336" s="174"/>
      <c r="B336" s="175" t="str">
        <f>IF(LEN(A336)=0,"",INDEX('Smelter Look-up'!$A:$A,MATCH($A336,'Smelter Look-up'!$E:$E,0)))</f>
        <v/>
      </c>
      <c r="C336" s="179" t="str">
        <f>IF(LEN(A336)=0,"",INDEX('Smelter Look-up'!$C:$C,MATCH($A336,'Smelter Look-up'!$E:$E,0)))</f>
        <v/>
      </c>
      <c r="D336" s="222"/>
      <c r="E336" s="175" t="str">
        <f ca="1">IF(ISERROR($V336),"",OFFSET('Smelter Look-up'!$D$4,$V336-4,0)&amp;"")</f>
        <v/>
      </c>
      <c r="F336" s="175" t="str">
        <f ca="1">IF(ISERROR($V336),"",OFFSET('Smelter Look-up'!$E$4,$V336-4,0))</f>
        <v/>
      </c>
      <c r="G336" s="175" t="str">
        <f ca="1">IF(C336=$X$4,IF(ISERROR($V336),"Enter smelter details","RMI"),IF(ISERROR($V336),"",OFFSET('Smelter Look-up'!$F$4,$V336-4,0)))</f>
        <v/>
      </c>
      <c r="H336" s="176" t="str">
        <f ca="1">IF(ISERROR($V336),"",OFFSET('Smelter Look-up'!$G$4,$V336-4,0))</f>
        <v/>
      </c>
      <c r="I336" s="177" t="str">
        <f ca="1">IF(ISERROR($V336),"",OFFSET('Smelter Look-up'!$H$4,$V336-4,0))</f>
        <v/>
      </c>
      <c r="J336" s="177" t="str">
        <f ca="1">IF(ISERROR($V336),"",OFFSET('Smelter Look-up'!$I$4,$V336-4,0))</f>
        <v/>
      </c>
      <c r="K336" s="216"/>
      <c r="L336" s="216"/>
      <c r="M336" s="216"/>
      <c r="N336" s="216"/>
      <c r="O336" s="216"/>
      <c r="P336" s="178"/>
      <c r="Q336" s="217"/>
      <c r="R336" s="175" t="str">
        <f ca="1">IF(ISERROR($V336),"",OFFSET('Smelter Look-up'!$C$4,$V336-4,0)&amp;"")</f>
        <v/>
      </c>
      <c r="S336" s="174" t="str">
        <f t="shared" ca="1" si="48"/>
        <v/>
      </c>
      <c r="T336" s="174" t="str">
        <f ca="1">IF(B336="","",IF(ISERROR(MATCH($J336,SorP!$B$1:$B$6279,0)),"",INDIRECT("'SorP'!$A$"&amp;MATCH($S336&amp;$J336,SorP!C:C,0))))</f>
        <v/>
      </c>
      <c r="U336" s="194"/>
      <c r="V336" s="218" t="e">
        <f>IF(C336="",NA(),IF(OR(C336="Smelter not listed",C336="Smelter not yet identified"),MATCH($B336&amp;$D336,'Smelter Look-up'!$J:$J,0),MATCH($B336&amp;$C336,'Smelter Look-up'!$J:$J,0)))</f>
        <v>#N/A</v>
      </c>
      <c r="X336" s="219">
        <f t="shared" ca="1" si="49"/>
        <v>0</v>
      </c>
      <c r="AB336" s="220" t="str">
        <f t="shared" si="50"/>
        <v/>
      </c>
    </row>
    <row r="337" spans="1:28" s="219" customFormat="1" ht="20.25">
      <c r="A337" s="174"/>
      <c r="B337" s="175" t="str">
        <f>IF(LEN(A337)=0,"",INDEX('Smelter Look-up'!$A:$A,MATCH($A337,'Smelter Look-up'!$E:$E,0)))</f>
        <v/>
      </c>
      <c r="C337" s="179" t="str">
        <f>IF(LEN(A337)=0,"",INDEX('Smelter Look-up'!$C:$C,MATCH($A337,'Smelter Look-up'!$E:$E,0)))</f>
        <v/>
      </c>
      <c r="D337" s="222"/>
      <c r="E337" s="175" t="str">
        <f ca="1">IF(ISERROR($V337),"",OFFSET('Smelter Look-up'!$D$4,$V337-4,0)&amp;"")</f>
        <v/>
      </c>
      <c r="F337" s="175" t="str">
        <f ca="1">IF(ISERROR($V337),"",OFFSET('Smelter Look-up'!$E$4,$V337-4,0))</f>
        <v/>
      </c>
      <c r="G337" s="175" t="str">
        <f ca="1">IF(C337=$X$4,IF(ISERROR($V337),"Enter smelter details","RMI"),IF(ISERROR($V337),"",OFFSET('Smelter Look-up'!$F$4,$V337-4,0)))</f>
        <v/>
      </c>
      <c r="H337" s="176" t="str">
        <f ca="1">IF(ISERROR($V337),"",OFFSET('Smelter Look-up'!$G$4,$V337-4,0))</f>
        <v/>
      </c>
      <c r="I337" s="177" t="str">
        <f ca="1">IF(ISERROR($V337),"",OFFSET('Smelter Look-up'!$H$4,$V337-4,0))</f>
        <v/>
      </c>
      <c r="J337" s="177" t="str">
        <f ca="1">IF(ISERROR($V337),"",OFFSET('Smelter Look-up'!$I$4,$V337-4,0))</f>
        <v/>
      </c>
      <c r="K337" s="216"/>
      <c r="L337" s="216"/>
      <c r="M337" s="216"/>
      <c r="N337" s="216"/>
      <c r="O337" s="216"/>
      <c r="P337" s="178"/>
      <c r="Q337" s="217"/>
      <c r="R337" s="175" t="str">
        <f ca="1">IF(ISERROR($V337),"",OFFSET('Smelter Look-up'!$C$4,$V337-4,0)&amp;"")</f>
        <v/>
      </c>
      <c r="S337" s="174" t="str">
        <f t="shared" ca="1" si="48"/>
        <v/>
      </c>
      <c r="T337" s="174" t="str">
        <f ca="1">IF(B337="","",IF(ISERROR(MATCH($J337,SorP!$B$1:$B$6279,0)),"",INDIRECT("'SorP'!$A$"&amp;MATCH($S337&amp;$J337,SorP!C:C,0))))</f>
        <v/>
      </c>
      <c r="U337" s="194"/>
      <c r="V337" s="218" t="e">
        <f>IF(C337="",NA(),IF(OR(C337="Smelter not listed",C337="Smelter not yet identified"),MATCH($B337&amp;$D337,'Smelter Look-up'!$J:$J,0),MATCH($B337&amp;$C337,'Smelter Look-up'!$J:$J,0)))</f>
        <v>#N/A</v>
      </c>
      <c r="X337" s="219">
        <f t="shared" ca="1" si="49"/>
        <v>0</v>
      </c>
      <c r="AB337" s="220" t="str">
        <f t="shared" si="50"/>
        <v/>
      </c>
    </row>
    <row r="338" spans="1:28" s="219" customFormat="1" ht="20.25">
      <c r="A338" s="174"/>
      <c r="B338" s="175" t="str">
        <f>IF(LEN(A338)=0,"",INDEX('Smelter Look-up'!$A:$A,MATCH($A338,'Smelter Look-up'!$E:$E,0)))</f>
        <v/>
      </c>
      <c r="C338" s="179" t="str">
        <f>IF(LEN(A338)=0,"",INDEX('Smelter Look-up'!$C:$C,MATCH($A338,'Smelter Look-up'!$E:$E,0)))</f>
        <v/>
      </c>
      <c r="D338" s="222"/>
      <c r="E338" s="175" t="str">
        <f ca="1">IF(ISERROR($V338),"",OFFSET('Smelter Look-up'!$D$4,$V338-4,0)&amp;"")</f>
        <v/>
      </c>
      <c r="F338" s="175" t="str">
        <f ca="1">IF(ISERROR($V338),"",OFFSET('Smelter Look-up'!$E$4,$V338-4,0))</f>
        <v/>
      </c>
      <c r="G338" s="175" t="str">
        <f ca="1">IF(C338=$X$4,IF(ISERROR($V338),"Enter smelter details","RMI"),IF(ISERROR($V338),"",OFFSET('Smelter Look-up'!$F$4,$V338-4,0)))</f>
        <v/>
      </c>
      <c r="H338" s="176" t="str">
        <f ca="1">IF(ISERROR($V338),"",OFFSET('Smelter Look-up'!$G$4,$V338-4,0))</f>
        <v/>
      </c>
      <c r="I338" s="177" t="str">
        <f ca="1">IF(ISERROR($V338),"",OFFSET('Smelter Look-up'!$H$4,$V338-4,0))</f>
        <v/>
      </c>
      <c r="J338" s="177" t="str">
        <f ca="1">IF(ISERROR($V338),"",OFFSET('Smelter Look-up'!$I$4,$V338-4,0))</f>
        <v/>
      </c>
      <c r="K338" s="216"/>
      <c r="L338" s="216"/>
      <c r="M338" s="216"/>
      <c r="N338" s="216"/>
      <c r="O338" s="216"/>
      <c r="P338" s="178"/>
      <c r="Q338" s="217"/>
      <c r="R338" s="175" t="str">
        <f ca="1">IF(ISERROR($V338),"",OFFSET('Smelter Look-up'!$C$4,$V338-4,0)&amp;"")</f>
        <v/>
      </c>
      <c r="S338" s="174" t="str">
        <f t="shared" ca="1" si="48"/>
        <v/>
      </c>
      <c r="T338" s="174" t="str">
        <f ca="1">IF(B338="","",IF(ISERROR(MATCH($J338,SorP!$B$1:$B$6279,0)),"",INDIRECT("'SorP'!$A$"&amp;MATCH($S338&amp;$J338,SorP!C:C,0))))</f>
        <v/>
      </c>
      <c r="U338" s="194"/>
      <c r="V338" s="218" t="e">
        <f>IF(C338="",NA(),IF(OR(C338="Smelter not listed",C338="Smelter not yet identified"),MATCH($B338&amp;$D338,'Smelter Look-up'!$J:$J,0),MATCH($B338&amp;$C338,'Smelter Look-up'!$J:$J,0)))</f>
        <v>#N/A</v>
      </c>
      <c r="X338" s="219">
        <f t="shared" ca="1" si="49"/>
        <v>0</v>
      </c>
      <c r="AB338" s="220" t="str">
        <f t="shared" si="50"/>
        <v/>
      </c>
    </row>
    <row r="339" spans="1:28" s="219" customFormat="1" ht="20.25">
      <c r="A339" s="174"/>
      <c r="B339" s="175" t="str">
        <f>IF(LEN(A339)=0,"",INDEX('Smelter Look-up'!$A:$A,MATCH($A339,'Smelter Look-up'!$E:$E,0)))</f>
        <v/>
      </c>
      <c r="C339" s="179" t="str">
        <f>IF(LEN(A339)=0,"",INDEX('Smelter Look-up'!$C:$C,MATCH($A339,'Smelter Look-up'!$E:$E,0)))</f>
        <v/>
      </c>
      <c r="D339" s="222"/>
      <c r="E339" s="175" t="str">
        <f ca="1">IF(ISERROR($V339),"",OFFSET('Smelter Look-up'!$D$4,$V339-4,0)&amp;"")</f>
        <v/>
      </c>
      <c r="F339" s="175" t="str">
        <f ca="1">IF(ISERROR($V339),"",OFFSET('Smelter Look-up'!$E$4,$V339-4,0))</f>
        <v/>
      </c>
      <c r="G339" s="175" t="str">
        <f ca="1">IF(C339=$X$4,IF(ISERROR($V339),"Enter smelter details","RMI"),IF(ISERROR($V339),"",OFFSET('Smelter Look-up'!$F$4,$V339-4,0)))</f>
        <v/>
      </c>
      <c r="H339" s="176" t="str">
        <f ca="1">IF(ISERROR($V339),"",OFFSET('Smelter Look-up'!$G$4,$V339-4,0))</f>
        <v/>
      </c>
      <c r="I339" s="177" t="str">
        <f ca="1">IF(ISERROR($V339),"",OFFSET('Smelter Look-up'!$H$4,$V339-4,0))</f>
        <v/>
      </c>
      <c r="J339" s="177" t="str">
        <f ca="1">IF(ISERROR($V339),"",OFFSET('Smelter Look-up'!$I$4,$V339-4,0))</f>
        <v/>
      </c>
      <c r="K339" s="216"/>
      <c r="L339" s="216"/>
      <c r="M339" s="216"/>
      <c r="N339" s="216"/>
      <c r="O339" s="216"/>
      <c r="P339" s="178"/>
      <c r="Q339" s="217"/>
      <c r="R339" s="175" t="str">
        <f ca="1">IF(ISERROR($V339),"",OFFSET('Smelter Look-up'!$C$4,$V339-4,0)&amp;"")</f>
        <v/>
      </c>
      <c r="S339" s="174" t="str">
        <f t="shared" ca="1" si="48"/>
        <v/>
      </c>
      <c r="T339" s="174" t="str">
        <f ca="1">IF(B339="","",IF(ISERROR(MATCH($J339,SorP!$B$1:$B$6279,0)),"",INDIRECT("'SorP'!$A$"&amp;MATCH($S339&amp;$J339,SorP!C:C,0))))</f>
        <v/>
      </c>
      <c r="U339" s="194"/>
      <c r="V339" s="218" t="e">
        <f>IF(C339="",NA(),IF(OR(C339="Smelter not listed",C339="Smelter not yet identified"),MATCH($B339&amp;$D339,'Smelter Look-up'!$J:$J,0),MATCH($B339&amp;$C339,'Smelter Look-up'!$J:$J,0)))</f>
        <v>#N/A</v>
      </c>
      <c r="X339" s="219">
        <f t="shared" ca="1" si="49"/>
        <v>0</v>
      </c>
      <c r="AB339" s="220" t="str">
        <f t="shared" si="50"/>
        <v/>
      </c>
    </row>
    <row r="340" spans="1:28" s="219" customFormat="1" ht="20.25">
      <c r="A340" s="174"/>
      <c r="B340" s="175" t="str">
        <f>IF(LEN(A340)=0,"",INDEX('Smelter Look-up'!$A:$A,MATCH($A340,'Smelter Look-up'!$E:$E,0)))</f>
        <v/>
      </c>
      <c r="C340" s="179" t="str">
        <f>IF(LEN(A340)=0,"",INDEX('Smelter Look-up'!$C:$C,MATCH($A340,'Smelter Look-up'!$E:$E,0)))</f>
        <v/>
      </c>
      <c r="D340" s="222"/>
      <c r="E340" s="175" t="str">
        <f ca="1">IF(ISERROR($V340),"",OFFSET('Smelter Look-up'!$D$4,$V340-4,0)&amp;"")</f>
        <v/>
      </c>
      <c r="F340" s="175" t="str">
        <f ca="1">IF(ISERROR($V340),"",OFFSET('Smelter Look-up'!$E$4,$V340-4,0))</f>
        <v/>
      </c>
      <c r="G340" s="175" t="str">
        <f ca="1">IF(C340=$X$4,IF(ISERROR($V340),"Enter smelter details","RMI"),IF(ISERROR($V340),"",OFFSET('Smelter Look-up'!$F$4,$V340-4,0)))</f>
        <v/>
      </c>
      <c r="H340" s="176" t="str">
        <f ca="1">IF(ISERROR($V340),"",OFFSET('Smelter Look-up'!$G$4,$V340-4,0))</f>
        <v/>
      </c>
      <c r="I340" s="177" t="str">
        <f ca="1">IF(ISERROR($V340),"",OFFSET('Smelter Look-up'!$H$4,$V340-4,0))</f>
        <v/>
      </c>
      <c r="J340" s="177" t="str">
        <f ca="1">IF(ISERROR($V340),"",OFFSET('Smelter Look-up'!$I$4,$V340-4,0))</f>
        <v/>
      </c>
      <c r="K340" s="216"/>
      <c r="L340" s="216"/>
      <c r="M340" s="216"/>
      <c r="N340" s="216"/>
      <c r="O340" s="216"/>
      <c r="P340" s="178"/>
      <c r="Q340" s="217"/>
      <c r="R340" s="175" t="str">
        <f ca="1">IF(ISERROR($V340),"",OFFSET('Smelter Look-up'!$C$4,$V340-4,0)&amp;"")</f>
        <v/>
      </c>
      <c r="S340" s="174" t="str">
        <f t="shared" ca="1" si="48"/>
        <v/>
      </c>
      <c r="T340" s="174" t="str">
        <f ca="1">IF(B340="","",IF(ISERROR(MATCH($J340,SorP!$B$1:$B$6279,0)),"",INDIRECT("'SorP'!$A$"&amp;MATCH($S340&amp;$J340,SorP!C:C,0))))</f>
        <v/>
      </c>
      <c r="U340" s="194"/>
      <c r="V340" s="218" t="e">
        <f>IF(C340="",NA(),IF(OR(C340="Smelter not listed",C340="Smelter not yet identified"),MATCH($B340&amp;$D340,'Smelter Look-up'!$J:$J,0),MATCH($B340&amp;$C340,'Smelter Look-up'!$J:$J,0)))</f>
        <v>#N/A</v>
      </c>
      <c r="X340" s="219">
        <f t="shared" ca="1" si="49"/>
        <v>0</v>
      </c>
      <c r="AB340" s="220" t="str">
        <f t="shared" si="50"/>
        <v/>
      </c>
    </row>
    <row r="341" spans="1:28" s="219" customFormat="1" ht="20.25">
      <c r="A341" s="174"/>
      <c r="B341" s="175" t="str">
        <f>IF(LEN(A341)=0,"",INDEX('Smelter Look-up'!$A:$A,MATCH($A341,'Smelter Look-up'!$E:$E,0)))</f>
        <v/>
      </c>
      <c r="C341" s="179" t="str">
        <f>IF(LEN(A341)=0,"",INDEX('Smelter Look-up'!$C:$C,MATCH($A341,'Smelter Look-up'!$E:$E,0)))</f>
        <v/>
      </c>
      <c r="D341" s="222"/>
      <c r="E341" s="175" t="str">
        <f ca="1">IF(ISERROR($V341),"",OFFSET('Smelter Look-up'!$D$4,$V341-4,0)&amp;"")</f>
        <v/>
      </c>
      <c r="F341" s="175" t="str">
        <f ca="1">IF(ISERROR($V341),"",OFFSET('Smelter Look-up'!$E$4,$V341-4,0))</f>
        <v/>
      </c>
      <c r="G341" s="175" t="str">
        <f ca="1">IF(C341=$X$4,IF(ISERROR($V341),"Enter smelter details","RMI"),IF(ISERROR($V341),"",OFFSET('Smelter Look-up'!$F$4,$V341-4,0)))</f>
        <v/>
      </c>
      <c r="H341" s="176" t="str">
        <f ca="1">IF(ISERROR($V341),"",OFFSET('Smelter Look-up'!$G$4,$V341-4,0))</f>
        <v/>
      </c>
      <c r="I341" s="177" t="str">
        <f ca="1">IF(ISERROR($V341),"",OFFSET('Smelter Look-up'!$H$4,$V341-4,0))</f>
        <v/>
      </c>
      <c r="J341" s="177" t="str">
        <f ca="1">IF(ISERROR($V341),"",OFFSET('Smelter Look-up'!$I$4,$V341-4,0))</f>
        <v/>
      </c>
      <c r="K341" s="216"/>
      <c r="L341" s="216"/>
      <c r="M341" s="216"/>
      <c r="N341" s="216"/>
      <c r="O341" s="216"/>
      <c r="P341" s="178"/>
      <c r="Q341" s="217"/>
      <c r="R341" s="175" t="str">
        <f ca="1">IF(ISERROR($V341),"",OFFSET('Smelter Look-up'!$C$4,$V341-4,0)&amp;"")</f>
        <v/>
      </c>
      <c r="S341" s="174" t="str">
        <f t="shared" ca="1" si="48"/>
        <v/>
      </c>
      <c r="T341" s="174" t="str">
        <f ca="1">IF(B341="","",IF(ISERROR(MATCH($J341,SorP!$B$1:$B$6279,0)),"",INDIRECT("'SorP'!$A$"&amp;MATCH($S341&amp;$J341,SorP!C:C,0))))</f>
        <v/>
      </c>
      <c r="U341" s="194"/>
      <c r="V341" s="218" t="e">
        <f>IF(C341="",NA(),IF(OR(C341="Smelter not listed",C341="Smelter not yet identified"),MATCH($B341&amp;$D341,'Smelter Look-up'!$J:$J,0),MATCH($B341&amp;$C341,'Smelter Look-up'!$J:$J,0)))</f>
        <v>#N/A</v>
      </c>
      <c r="X341" s="219">
        <f t="shared" ca="1" si="49"/>
        <v>0</v>
      </c>
      <c r="AB341" s="220" t="str">
        <f t="shared" si="50"/>
        <v/>
      </c>
    </row>
    <row r="342" spans="1:28" s="219" customFormat="1" ht="20.25">
      <c r="A342" s="174"/>
      <c r="B342" s="175" t="str">
        <f>IF(LEN(A342)=0,"",INDEX('Smelter Look-up'!$A:$A,MATCH($A342,'Smelter Look-up'!$E:$E,0)))</f>
        <v/>
      </c>
      <c r="C342" s="179" t="str">
        <f>IF(LEN(A342)=0,"",INDEX('Smelter Look-up'!$C:$C,MATCH($A342,'Smelter Look-up'!$E:$E,0)))</f>
        <v/>
      </c>
      <c r="D342" s="222"/>
      <c r="E342" s="175" t="str">
        <f ca="1">IF(ISERROR($V342),"",OFFSET('Smelter Look-up'!$D$4,$V342-4,0)&amp;"")</f>
        <v/>
      </c>
      <c r="F342" s="175" t="str">
        <f ca="1">IF(ISERROR($V342),"",OFFSET('Smelter Look-up'!$E$4,$V342-4,0))</f>
        <v/>
      </c>
      <c r="G342" s="175" t="str">
        <f ca="1">IF(C342=$X$4,IF(ISERROR($V342),"Enter smelter details","RMI"),IF(ISERROR($V342),"",OFFSET('Smelter Look-up'!$F$4,$V342-4,0)))</f>
        <v/>
      </c>
      <c r="H342" s="176" t="str">
        <f ca="1">IF(ISERROR($V342),"",OFFSET('Smelter Look-up'!$G$4,$V342-4,0))</f>
        <v/>
      </c>
      <c r="I342" s="177" t="str">
        <f ca="1">IF(ISERROR($V342),"",OFFSET('Smelter Look-up'!$H$4,$V342-4,0))</f>
        <v/>
      </c>
      <c r="J342" s="177" t="str">
        <f ca="1">IF(ISERROR($V342),"",OFFSET('Smelter Look-up'!$I$4,$V342-4,0))</f>
        <v/>
      </c>
      <c r="K342" s="216"/>
      <c r="L342" s="216"/>
      <c r="M342" s="216"/>
      <c r="N342" s="216"/>
      <c r="O342" s="216"/>
      <c r="P342" s="178"/>
      <c r="Q342" s="217"/>
      <c r="R342" s="175" t="str">
        <f ca="1">IF(ISERROR($V342),"",OFFSET('Smelter Look-up'!$C$4,$V342-4,0)&amp;"")</f>
        <v/>
      </c>
      <c r="S342" s="174" t="str">
        <f t="shared" ca="1" si="48"/>
        <v/>
      </c>
      <c r="T342" s="174" t="str">
        <f ca="1">IF(B342="","",IF(ISERROR(MATCH($J342,SorP!$B$1:$B$6279,0)),"",INDIRECT("'SorP'!$A$"&amp;MATCH($S342&amp;$J342,SorP!C:C,0))))</f>
        <v/>
      </c>
      <c r="U342" s="194"/>
      <c r="V342" s="218" t="e">
        <f>IF(C342="",NA(),IF(OR(C342="Smelter not listed",C342="Smelter not yet identified"),MATCH($B342&amp;$D342,'Smelter Look-up'!$J:$J,0),MATCH($B342&amp;$C342,'Smelter Look-up'!$J:$J,0)))</f>
        <v>#N/A</v>
      </c>
      <c r="X342" s="219">
        <f t="shared" ca="1" si="49"/>
        <v>0</v>
      </c>
      <c r="AB342" s="220" t="str">
        <f t="shared" si="50"/>
        <v/>
      </c>
    </row>
    <row r="343" spans="1:28" s="219" customFormat="1" ht="20.25">
      <c r="A343" s="174"/>
      <c r="B343" s="175" t="str">
        <f>IF(LEN(A343)=0,"",INDEX('Smelter Look-up'!$A:$A,MATCH($A343,'Smelter Look-up'!$E:$E,0)))</f>
        <v/>
      </c>
      <c r="C343" s="179" t="str">
        <f>IF(LEN(A343)=0,"",INDEX('Smelter Look-up'!$C:$C,MATCH($A343,'Smelter Look-up'!$E:$E,0)))</f>
        <v/>
      </c>
      <c r="D343" s="222"/>
      <c r="E343" s="175" t="str">
        <f ca="1">IF(ISERROR($V343),"",OFFSET('Smelter Look-up'!$D$4,$V343-4,0)&amp;"")</f>
        <v/>
      </c>
      <c r="F343" s="175" t="str">
        <f ca="1">IF(ISERROR($V343),"",OFFSET('Smelter Look-up'!$E$4,$V343-4,0))</f>
        <v/>
      </c>
      <c r="G343" s="175" t="str">
        <f ca="1">IF(C343=$X$4,IF(ISERROR($V343),"Enter smelter details","RMI"),IF(ISERROR($V343),"",OFFSET('Smelter Look-up'!$F$4,$V343-4,0)))</f>
        <v/>
      </c>
      <c r="H343" s="176" t="str">
        <f ca="1">IF(ISERROR($V343),"",OFFSET('Smelter Look-up'!$G$4,$V343-4,0))</f>
        <v/>
      </c>
      <c r="I343" s="177" t="str">
        <f ca="1">IF(ISERROR($V343),"",OFFSET('Smelter Look-up'!$H$4,$V343-4,0))</f>
        <v/>
      </c>
      <c r="J343" s="177" t="str">
        <f ca="1">IF(ISERROR($V343),"",OFFSET('Smelter Look-up'!$I$4,$V343-4,0))</f>
        <v/>
      </c>
      <c r="K343" s="216"/>
      <c r="L343" s="216"/>
      <c r="M343" s="216"/>
      <c r="N343" s="216"/>
      <c r="O343" s="216"/>
      <c r="P343" s="178"/>
      <c r="Q343" s="217"/>
      <c r="R343" s="175" t="str">
        <f ca="1">IF(ISERROR($V343),"",OFFSET('Smelter Look-up'!$C$4,$V343-4,0)&amp;"")</f>
        <v/>
      </c>
      <c r="S343" s="174" t="str">
        <f t="shared" ca="1" si="48"/>
        <v/>
      </c>
      <c r="T343" s="174" t="str">
        <f ca="1">IF(B343="","",IF(ISERROR(MATCH($J343,SorP!$B$1:$B$6279,0)),"",INDIRECT("'SorP'!$A$"&amp;MATCH($S343&amp;$J343,SorP!C:C,0))))</f>
        <v/>
      </c>
      <c r="U343" s="194"/>
      <c r="V343" s="218" t="e">
        <f>IF(C343="",NA(),IF(OR(C343="Smelter not listed",C343="Smelter not yet identified"),MATCH($B343&amp;$D343,'Smelter Look-up'!$J:$J,0),MATCH($B343&amp;$C343,'Smelter Look-up'!$J:$J,0)))</f>
        <v>#N/A</v>
      </c>
      <c r="X343" s="219">
        <f t="shared" ca="1" si="49"/>
        <v>0</v>
      </c>
      <c r="AB343" s="220" t="str">
        <f t="shared" si="50"/>
        <v/>
      </c>
    </row>
    <row r="344" spans="1:28" s="219" customFormat="1" ht="20.25">
      <c r="A344" s="174"/>
      <c r="B344" s="175" t="str">
        <f>IF(LEN(A344)=0,"",INDEX('Smelter Look-up'!$A:$A,MATCH($A344,'Smelter Look-up'!$E:$E,0)))</f>
        <v/>
      </c>
      <c r="C344" s="179" t="str">
        <f>IF(LEN(A344)=0,"",INDEX('Smelter Look-up'!$C:$C,MATCH($A344,'Smelter Look-up'!$E:$E,0)))</f>
        <v/>
      </c>
      <c r="D344" s="222"/>
      <c r="E344" s="175" t="str">
        <f ca="1">IF(ISERROR($V344),"",OFFSET('Smelter Look-up'!$D$4,$V344-4,0)&amp;"")</f>
        <v/>
      </c>
      <c r="F344" s="175" t="str">
        <f ca="1">IF(ISERROR($V344),"",OFFSET('Smelter Look-up'!$E$4,$V344-4,0))</f>
        <v/>
      </c>
      <c r="G344" s="175" t="str">
        <f ca="1">IF(C344=$X$4,IF(ISERROR($V344),"Enter smelter details","RMI"),IF(ISERROR($V344),"",OFFSET('Smelter Look-up'!$F$4,$V344-4,0)))</f>
        <v/>
      </c>
      <c r="H344" s="176" t="str">
        <f ca="1">IF(ISERROR($V344),"",OFFSET('Smelter Look-up'!$G$4,$V344-4,0))</f>
        <v/>
      </c>
      <c r="I344" s="177" t="str">
        <f ca="1">IF(ISERROR($V344),"",OFFSET('Smelter Look-up'!$H$4,$V344-4,0))</f>
        <v/>
      </c>
      <c r="J344" s="177" t="str">
        <f ca="1">IF(ISERROR($V344),"",OFFSET('Smelter Look-up'!$I$4,$V344-4,0))</f>
        <v/>
      </c>
      <c r="K344" s="216"/>
      <c r="L344" s="216"/>
      <c r="M344" s="216"/>
      <c r="N344" s="216"/>
      <c r="O344" s="216"/>
      <c r="P344" s="178"/>
      <c r="Q344" s="217"/>
      <c r="R344" s="175" t="str">
        <f ca="1">IF(ISERROR($V344),"",OFFSET('Smelter Look-up'!$C$4,$V344-4,0)&amp;"")</f>
        <v/>
      </c>
      <c r="S344" s="174" t="str">
        <f t="shared" ca="1" si="48"/>
        <v/>
      </c>
      <c r="T344" s="174" t="str">
        <f ca="1">IF(B344="","",IF(ISERROR(MATCH($J344,SorP!$B$1:$B$6279,0)),"",INDIRECT("'SorP'!$A$"&amp;MATCH($S344&amp;$J344,SorP!C:C,0))))</f>
        <v/>
      </c>
      <c r="U344" s="194"/>
      <c r="V344" s="218" t="e">
        <f>IF(C344="",NA(),IF(OR(C344="Smelter not listed",C344="Smelter not yet identified"),MATCH($B344&amp;$D344,'Smelter Look-up'!$J:$J,0),MATCH($B344&amp;$C344,'Smelter Look-up'!$J:$J,0)))</f>
        <v>#N/A</v>
      </c>
      <c r="X344" s="219">
        <f t="shared" ca="1" si="49"/>
        <v>0</v>
      </c>
      <c r="AB344" s="220" t="str">
        <f t="shared" si="50"/>
        <v/>
      </c>
    </row>
    <row r="345" spans="1:28" s="219" customFormat="1" ht="20.25">
      <c r="A345" s="174"/>
      <c r="B345" s="175" t="str">
        <f>IF(LEN(A345)=0,"",INDEX('Smelter Look-up'!$A:$A,MATCH($A345,'Smelter Look-up'!$E:$E,0)))</f>
        <v/>
      </c>
      <c r="C345" s="179" t="str">
        <f>IF(LEN(A345)=0,"",INDEX('Smelter Look-up'!$C:$C,MATCH($A345,'Smelter Look-up'!$E:$E,0)))</f>
        <v/>
      </c>
      <c r="D345" s="222"/>
      <c r="E345" s="175" t="str">
        <f ca="1">IF(ISERROR($V345),"",OFFSET('Smelter Look-up'!$D$4,$V345-4,0)&amp;"")</f>
        <v/>
      </c>
      <c r="F345" s="175" t="str">
        <f ca="1">IF(ISERROR($V345),"",OFFSET('Smelter Look-up'!$E$4,$V345-4,0))</f>
        <v/>
      </c>
      <c r="G345" s="175" t="str">
        <f ca="1">IF(C345=$X$4,IF(ISERROR($V345),"Enter smelter details","RMI"),IF(ISERROR($V345),"",OFFSET('Smelter Look-up'!$F$4,$V345-4,0)))</f>
        <v/>
      </c>
      <c r="H345" s="176" t="str">
        <f ca="1">IF(ISERROR($V345),"",OFFSET('Smelter Look-up'!$G$4,$V345-4,0))</f>
        <v/>
      </c>
      <c r="I345" s="177" t="str">
        <f ca="1">IF(ISERROR($V345),"",OFFSET('Smelter Look-up'!$H$4,$V345-4,0))</f>
        <v/>
      </c>
      <c r="J345" s="177" t="str">
        <f ca="1">IF(ISERROR($V345),"",OFFSET('Smelter Look-up'!$I$4,$V345-4,0))</f>
        <v/>
      </c>
      <c r="K345" s="216"/>
      <c r="L345" s="216"/>
      <c r="M345" s="216"/>
      <c r="N345" s="216"/>
      <c r="O345" s="216"/>
      <c r="P345" s="178"/>
      <c r="Q345" s="217"/>
      <c r="R345" s="175" t="str">
        <f ca="1">IF(ISERROR($V345),"",OFFSET('Smelter Look-up'!$C$4,$V345-4,0)&amp;"")</f>
        <v/>
      </c>
      <c r="S345" s="174" t="str">
        <f t="shared" ca="1" si="48"/>
        <v/>
      </c>
      <c r="T345" s="174" t="str">
        <f ca="1">IF(B345="","",IF(ISERROR(MATCH($J345,SorP!$B$1:$B$6279,0)),"",INDIRECT("'SorP'!$A$"&amp;MATCH($S345&amp;$J345,SorP!C:C,0))))</f>
        <v/>
      </c>
      <c r="U345" s="194"/>
      <c r="V345" s="218" t="e">
        <f>IF(C345="",NA(),IF(OR(C345="Smelter not listed",C345="Smelter not yet identified"),MATCH($B345&amp;$D345,'Smelter Look-up'!$J:$J,0),MATCH($B345&amp;$C345,'Smelter Look-up'!$J:$J,0)))</f>
        <v>#N/A</v>
      </c>
      <c r="X345" s="219">
        <f t="shared" ca="1" si="49"/>
        <v>0</v>
      </c>
      <c r="AB345" s="220" t="str">
        <f t="shared" si="50"/>
        <v/>
      </c>
    </row>
    <row r="346" spans="1:28" s="219" customFormat="1" ht="20.25">
      <c r="A346" s="174"/>
      <c r="B346" s="175" t="str">
        <f>IF(LEN(A346)=0,"",INDEX('Smelter Look-up'!$A:$A,MATCH($A346,'Smelter Look-up'!$E:$E,0)))</f>
        <v/>
      </c>
      <c r="C346" s="179" t="str">
        <f>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48"/>
        <v/>
      </c>
      <c r="T346" s="174" t="str">
        <f ca="1">IF(B346="","",IF(ISERROR(MATCH($J346,SorP!$B$1:$B$6279,0)),"",INDIRECT("'SorP'!$A$"&amp;MATCH($S346&amp;$J346,SorP!C:C,0))))</f>
        <v/>
      </c>
      <c r="U346" s="194"/>
      <c r="V346" s="218" t="e">
        <f>IF(C346="",NA(),IF(OR(C346="Smelter not listed",C346="Smelter not yet identified"),MATCH($B346&amp;$D346,'Smelter Look-up'!$J:$J,0),MATCH($B346&amp;$C346,'Smelter Look-up'!$J:$J,0)))</f>
        <v>#N/A</v>
      </c>
      <c r="X346" s="219">
        <f t="shared" ca="1" si="49"/>
        <v>0</v>
      </c>
      <c r="AB346" s="220" t="str">
        <f t="shared" si="50"/>
        <v/>
      </c>
    </row>
    <row r="347" spans="1:28" s="219" customFormat="1" ht="20.25">
      <c r="A347" s="174"/>
      <c r="B347" s="175" t="str">
        <f>IF(LEN(A347)=0,"",INDEX('Smelter Look-up'!$A:$A,MATCH($A347,'Smelter Look-up'!$E:$E,0)))</f>
        <v/>
      </c>
      <c r="C347" s="179" t="str">
        <f>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48"/>
        <v/>
      </c>
      <c r="T347" s="174" t="str">
        <f ca="1">IF(B347="","",IF(ISERROR(MATCH($J347,SorP!$B$1:$B$6279,0)),"",INDIRECT("'SorP'!$A$"&amp;MATCH($S347&amp;$J347,SorP!C:C,0))))</f>
        <v/>
      </c>
      <c r="U347" s="194"/>
      <c r="V347" s="218" t="e">
        <f>IF(C347="",NA(),IF(OR(C347="Smelter not listed",C347="Smelter not yet identified"),MATCH($B347&amp;$D347,'Smelter Look-up'!$J:$J,0),MATCH($B347&amp;$C347,'Smelter Look-up'!$J:$J,0)))</f>
        <v>#N/A</v>
      </c>
      <c r="X347" s="219">
        <f t="shared" ca="1" si="49"/>
        <v>0</v>
      </c>
      <c r="AB347" s="220" t="str">
        <f t="shared" si="50"/>
        <v/>
      </c>
    </row>
    <row r="348" spans="1:28" s="219" customFormat="1" ht="20.25">
      <c r="A348" s="174"/>
      <c r="B348" s="175" t="str">
        <f>IF(LEN(A348)=0,"",INDEX('Smelter Look-up'!$A:$A,MATCH($A348,'Smelter Look-up'!$E:$E,0)))</f>
        <v/>
      </c>
      <c r="C348" s="179" t="str">
        <f>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48"/>
        <v/>
      </c>
      <c r="T348" s="174" t="str">
        <f ca="1">IF(B348="","",IF(ISERROR(MATCH($J348,SorP!$B$1:$B$6279,0)),"",INDIRECT("'SorP'!$A$"&amp;MATCH($S348&amp;$J348,SorP!C:C,0))))</f>
        <v/>
      </c>
      <c r="U348" s="194"/>
      <c r="V348" s="218" t="e">
        <f>IF(C348="",NA(),IF(OR(C348="Smelter not listed",C348="Smelter not yet identified"),MATCH($B348&amp;$D348,'Smelter Look-up'!$J:$J,0),MATCH($B348&amp;$C348,'Smelter Look-up'!$J:$J,0)))</f>
        <v>#N/A</v>
      </c>
      <c r="X348" s="219">
        <f t="shared" ca="1" si="49"/>
        <v>0</v>
      </c>
      <c r="AB348" s="220" t="str">
        <f t="shared" si="50"/>
        <v/>
      </c>
    </row>
    <row r="349" spans="1:28" s="219" customFormat="1" ht="20.25">
      <c r="A349" s="174"/>
      <c r="B349" s="175" t="str">
        <f>IF(LEN(A349)=0,"",INDEX('Smelter Look-up'!$A:$A,MATCH($A349,'Smelter Look-up'!$E:$E,0)))</f>
        <v/>
      </c>
      <c r="C349" s="179" t="str">
        <f>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48"/>
        <v/>
      </c>
      <c r="T349" s="174" t="str">
        <f ca="1">IF(B349="","",IF(ISERROR(MATCH($J349,SorP!$B$1:$B$6279,0)),"",INDIRECT("'SorP'!$A$"&amp;MATCH($S349&amp;$J349,SorP!C:C,0))))</f>
        <v/>
      </c>
      <c r="U349" s="194"/>
      <c r="V349" s="218" t="e">
        <f>IF(C349="",NA(),IF(OR(C349="Smelter not listed",C349="Smelter not yet identified"),MATCH($B349&amp;$D349,'Smelter Look-up'!$J:$J,0),MATCH($B349&amp;$C349,'Smelter Look-up'!$J:$J,0)))</f>
        <v>#N/A</v>
      </c>
      <c r="X349" s="219">
        <f t="shared" ca="1" si="49"/>
        <v>0</v>
      </c>
      <c r="AB349" s="220" t="str">
        <f t="shared" si="50"/>
        <v/>
      </c>
    </row>
    <row r="350" spans="1:28" s="219" customFormat="1" ht="20.25">
      <c r="A350" s="174"/>
      <c r="B350" s="175" t="str">
        <f>IF(LEN(A350)=0,"",INDEX('Smelter Look-up'!$A:$A,MATCH($A350,'Smelter Look-up'!$E:$E,0)))</f>
        <v/>
      </c>
      <c r="C350" s="179" t="str">
        <f>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48"/>
        <v/>
      </c>
      <c r="T350" s="174" t="str">
        <f ca="1">IF(B350="","",IF(ISERROR(MATCH($J350,SorP!$B$1:$B$6279,0)),"",INDIRECT("'SorP'!$A$"&amp;MATCH($S350&amp;$J350,SorP!C:C,0))))</f>
        <v/>
      </c>
      <c r="U350" s="194"/>
      <c r="V350" s="218" t="e">
        <f>IF(C350="",NA(),IF(OR(C350="Smelter not listed",C350="Smelter not yet identified"),MATCH($B350&amp;$D350,'Smelter Look-up'!$J:$J,0),MATCH($B350&amp;$C350,'Smelter Look-up'!$J:$J,0)))</f>
        <v>#N/A</v>
      </c>
      <c r="X350" s="219">
        <f t="shared" ca="1" si="49"/>
        <v>0</v>
      </c>
      <c r="AB350" s="220" t="str">
        <f t="shared" si="50"/>
        <v/>
      </c>
    </row>
    <row r="351" spans="1:28" s="219" customFormat="1" ht="20.25">
      <c r="A351" s="174"/>
      <c r="B351" s="175" t="str">
        <f>IF(LEN(A351)=0,"",INDEX('Smelter Look-up'!$A:$A,MATCH($A351,'Smelter Look-up'!$E:$E,0)))</f>
        <v/>
      </c>
      <c r="C351" s="179" t="str">
        <f>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48"/>
        <v/>
      </c>
      <c r="T351" s="174" t="str">
        <f ca="1">IF(B351="","",IF(ISERROR(MATCH($J351,SorP!$B$1:$B$6279,0)),"",INDIRECT("'SorP'!$A$"&amp;MATCH($S351&amp;$J351,SorP!C:C,0))))</f>
        <v/>
      </c>
      <c r="U351" s="194"/>
      <c r="V351" s="218" t="e">
        <f>IF(C351="",NA(),IF(OR(C351="Smelter not listed",C351="Smelter not yet identified"),MATCH($B351&amp;$D351,'Smelter Look-up'!$J:$J,0),MATCH($B351&amp;$C351,'Smelter Look-up'!$J:$J,0)))</f>
        <v>#N/A</v>
      </c>
      <c r="X351" s="219">
        <f t="shared" ca="1" si="49"/>
        <v>0</v>
      </c>
      <c r="AB351" s="220" t="str">
        <f t="shared" si="50"/>
        <v/>
      </c>
    </row>
    <row r="352" spans="1:28" s="219" customFormat="1" ht="20.25">
      <c r="A352" s="174"/>
      <c r="B352" s="175" t="str">
        <f>IF(LEN(A352)=0,"",INDEX('Smelter Look-up'!$A:$A,MATCH($A352,'Smelter Look-up'!$E:$E,0)))</f>
        <v/>
      </c>
      <c r="C352" s="179" t="str">
        <f>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48"/>
        <v/>
      </c>
      <c r="T352" s="174" t="str">
        <f ca="1">IF(B352="","",IF(ISERROR(MATCH($J352,SorP!$B$1:$B$6279,0)),"",INDIRECT("'SorP'!$A$"&amp;MATCH($S352&amp;$J352,SorP!C:C,0))))</f>
        <v/>
      </c>
      <c r="U352" s="194"/>
      <c r="V352" s="218" t="e">
        <f>IF(C352="",NA(),IF(OR(C352="Smelter not listed",C352="Smelter not yet identified"),MATCH($B352&amp;$D352,'Smelter Look-up'!$J:$J,0),MATCH($B352&amp;$C352,'Smelter Look-up'!$J:$J,0)))</f>
        <v>#N/A</v>
      </c>
      <c r="X352" s="219">
        <f t="shared" ca="1" si="49"/>
        <v>0</v>
      </c>
      <c r="AB352" s="220" t="str">
        <f t="shared" si="50"/>
        <v/>
      </c>
    </row>
    <row r="353" spans="1:28" s="219" customFormat="1" ht="20.25">
      <c r="A353" s="174"/>
      <c r="B353" s="175" t="str">
        <f>IF(LEN(A353)=0,"",INDEX('Smelter Look-up'!$A:$A,MATCH($A353,'Smelter Look-up'!$E:$E,0)))</f>
        <v/>
      </c>
      <c r="C353" s="179" t="str">
        <f>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48"/>
        <v/>
      </c>
      <c r="T353" s="174" t="str">
        <f ca="1">IF(B353="","",IF(ISERROR(MATCH($J353,SorP!$B$1:$B$6279,0)),"",INDIRECT("'SorP'!$A$"&amp;MATCH($S353&amp;$J353,SorP!C:C,0))))</f>
        <v/>
      </c>
      <c r="U353" s="194"/>
      <c r="V353" s="218" t="e">
        <f>IF(C353="",NA(),IF(OR(C353="Smelter not listed",C353="Smelter not yet identified"),MATCH($B353&amp;$D353,'Smelter Look-up'!$J:$J,0),MATCH($B353&amp;$C353,'Smelter Look-up'!$J:$J,0)))</f>
        <v>#N/A</v>
      </c>
      <c r="X353" s="219">
        <f t="shared" ca="1" si="49"/>
        <v>0</v>
      </c>
      <c r="AB353" s="220" t="str">
        <f t="shared" si="50"/>
        <v/>
      </c>
    </row>
    <row r="354" spans="1:28" s="219" customFormat="1" ht="20.25">
      <c r="A354" s="174"/>
      <c r="B354" s="175" t="str">
        <f>IF(LEN(A354)=0,"",INDEX('Smelter Look-up'!$A:$A,MATCH($A354,'Smelter Look-up'!$E:$E,0)))</f>
        <v/>
      </c>
      <c r="C354" s="179" t="str">
        <f>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48"/>
        <v/>
      </c>
      <c r="T354" s="174" t="str">
        <f ca="1">IF(B354="","",IF(ISERROR(MATCH($J354,SorP!$B$1:$B$6279,0)),"",INDIRECT("'SorP'!$A$"&amp;MATCH($S354&amp;$J354,SorP!C:C,0))))</f>
        <v/>
      </c>
      <c r="U354" s="194"/>
      <c r="V354" s="218" t="e">
        <f>IF(C354="",NA(),IF(OR(C354="Smelter not listed",C354="Smelter not yet identified"),MATCH($B354&amp;$D354,'Smelter Look-up'!$J:$J,0),MATCH($B354&amp;$C354,'Smelter Look-up'!$J:$J,0)))</f>
        <v>#N/A</v>
      </c>
      <c r="X354" s="219">
        <f t="shared" ca="1" si="49"/>
        <v>0</v>
      </c>
      <c r="AB354" s="220" t="str">
        <f t="shared" si="50"/>
        <v/>
      </c>
    </row>
    <row r="355" spans="1:28" s="219" customFormat="1" ht="20.25">
      <c r="A355" s="174"/>
      <c r="B355" s="175" t="str">
        <f>IF(LEN(A355)=0,"",INDEX('Smelter Look-up'!$A:$A,MATCH($A355,'Smelter Look-up'!$E:$E,0)))</f>
        <v/>
      </c>
      <c r="C355" s="179" t="str">
        <f>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48"/>
        <v/>
      </c>
      <c r="T355" s="174" t="str">
        <f ca="1">IF(B355="","",IF(ISERROR(MATCH($J355,SorP!$B$1:$B$6279,0)),"",INDIRECT("'SorP'!$A$"&amp;MATCH($S355&amp;$J355,SorP!C:C,0))))</f>
        <v/>
      </c>
      <c r="U355" s="194"/>
      <c r="V355" s="218" t="e">
        <f>IF(C355="",NA(),IF(OR(C355="Smelter not listed",C355="Smelter not yet identified"),MATCH($B355&amp;$D355,'Smelter Look-up'!$J:$J,0),MATCH($B355&amp;$C355,'Smelter Look-up'!$J:$J,0)))</f>
        <v>#N/A</v>
      </c>
      <c r="X355" s="219">
        <f t="shared" ca="1" si="49"/>
        <v>0</v>
      </c>
      <c r="AB355" s="220" t="str">
        <f t="shared" si="50"/>
        <v/>
      </c>
    </row>
    <row r="356" spans="1:28" s="219" customFormat="1" ht="20.25">
      <c r="A356" s="174"/>
      <c r="B356" s="175" t="str">
        <f>IF(LEN(A356)=0,"",INDEX('Smelter Look-up'!$A:$A,MATCH($A356,'Smelter Look-up'!$E:$E,0)))</f>
        <v/>
      </c>
      <c r="C356" s="179" t="str">
        <f>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ca="1" si="48"/>
        <v/>
      </c>
      <c r="T356" s="174" t="str">
        <f ca="1">IF(B356="","",IF(ISERROR(MATCH($J356,SorP!$B$1:$B$6279,0)),"",INDIRECT("'SorP'!$A$"&amp;MATCH($S356&amp;$J356,SorP!C:C,0))))</f>
        <v/>
      </c>
      <c r="U356" s="194"/>
      <c r="V356" s="218" t="e">
        <f>IF(C356="",NA(),IF(OR(C356="Smelter not listed",C356="Smelter not yet identified"),MATCH($B356&amp;$D356,'Smelter Look-up'!$J:$J,0),MATCH($B356&amp;$C356,'Smelter Look-up'!$J:$J,0)))</f>
        <v>#N/A</v>
      </c>
      <c r="X356" s="219">
        <f t="shared" ca="1" si="49"/>
        <v>0</v>
      </c>
      <c r="AB356" s="220" t="str">
        <f t="shared" si="50"/>
        <v/>
      </c>
    </row>
    <row r="357" spans="1:28" s="219" customFormat="1" ht="20.25">
      <c r="A357" s="174"/>
      <c r="B357" s="175" t="str">
        <f>IF(LEN(A357)=0,"",INDEX('Smelter Look-up'!$A:$A,MATCH($A357,'Smelter Look-up'!$E:$E,0)))</f>
        <v/>
      </c>
      <c r="C357" s="179" t="str">
        <f>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ca="1" si="48"/>
        <v/>
      </c>
      <c r="T357" s="174" t="str">
        <f ca="1">IF(B357="","",IF(ISERROR(MATCH($J357,SorP!$B$1:$B$6279,0)),"",INDIRECT("'SorP'!$A$"&amp;MATCH($S357&amp;$J357,SorP!C:C,0))))</f>
        <v/>
      </c>
      <c r="U357" s="194"/>
      <c r="V357" s="218" t="e">
        <f>IF(C357="",NA(),IF(OR(C357="Smelter not listed",C357="Smelter not yet identified"),MATCH($B357&amp;$D357,'Smelter Look-up'!$J:$J,0),MATCH($B357&amp;$C357,'Smelter Look-up'!$J:$J,0)))</f>
        <v>#N/A</v>
      </c>
      <c r="X357" s="219">
        <f t="shared" ca="1" si="49"/>
        <v>0</v>
      </c>
      <c r="AB357" s="220" t="str">
        <f t="shared" si="50"/>
        <v/>
      </c>
    </row>
    <row r="358" spans="1:28" s="219" customFormat="1" ht="20.25">
      <c r="A358" s="174"/>
      <c r="B358" s="175" t="str">
        <f>IF(LEN(A358)=0,"",INDEX('Smelter Look-up'!$A:$A,MATCH($A358,'Smelter Look-up'!$E:$E,0)))</f>
        <v/>
      </c>
      <c r="C358" s="179" t="str">
        <f>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ref="S358:S388" ca="1" si="51">IF(B358="","",IF(ISERROR(MATCH($E358,CL,0)),"Unknown",INDIRECT("'C'!$A$"&amp;MATCH($E358,CL,0)+1)))</f>
        <v/>
      </c>
      <c r="T358" s="174" t="str">
        <f ca="1">IF(B358="","",IF(ISERROR(MATCH($J358,SorP!$B$1:$B$6279,0)),"",INDIRECT("'SorP'!$A$"&amp;MATCH($S358&amp;$J358,SorP!C:C,0))))</f>
        <v/>
      </c>
      <c r="U358" s="194"/>
      <c r="V358" s="218" t="e">
        <f>IF(C358="",NA(),IF(OR(C358="Smelter not listed",C358="Smelter not yet identified"),MATCH($B358&amp;$D358,'Smelter Look-up'!$J:$J,0),MATCH($B358&amp;$C358,'Smelter Look-up'!$J:$J,0)))</f>
        <v>#N/A</v>
      </c>
      <c r="X358" s="219">
        <f t="shared" ref="X358:X388" ca="1" si="52">IF(AND(C358="Smelter not listed",OR(LEN(D358)=0,LEN(E358)=0)),1,0)</f>
        <v>0</v>
      </c>
      <c r="AB358" s="220" t="str">
        <f t="shared" ref="AB358:AB388" si="53">B358&amp;C358</f>
        <v/>
      </c>
    </row>
    <row r="359" spans="1:28" s="219" customFormat="1" ht="20.25">
      <c r="A359" s="174"/>
      <c r="B359" s="175" t="str">
        <f>IF(LEN(A359)=0,"",INDEX('Smelter Look-up'!$A:$A,MATCH($A359,'Smelter Look-up'!$E:$E,0)))</f>
        <v/>
      </c>
      <c r="C359" s="179" t="str">
        <f>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51"/>
        <v/>
      </c>
      <c r="T359" s="174" t="str">
        <f ca="1">IF(B359="","",IF(ISERROR(MATCH($J359,SorP!$B$1:$B$6279,0)),"",INDIRECT("'SorP'!$A$"&amp;MATCH($S359&amp;$J359,SorP!C:C,0))))</f>
        <v/>
      </c>
      <c r="U359" s="194"/>
      <c r="V359" s="218" t="e">
        <f>IF(C359="",NA(),IF(OR(C359="Smelter not listed",C359="Smelter not yet identified"),MATCH($B359&amp;$D359,'Smelter Look-up'!$J:$J,0),MATCH($B359&amp;$C359,'Smelter Look-up'!$J:$J,0)))</f>
        <v>#N/A</v>
      </c>
      <c r="X359" s="219">
        <f t="shared" ca="1" si="52"/>
        <v>0</v>
      </c>
      <c r="AB359" s="220" t="str">
        <f t="shared" si="53"/>
        <v/>
      </c>
    </row>
    <row r="360" spans="1:28" s="219" customFormat="1" ht="20.25">
      <c r="A360" s="174"/>
      <c r="B360" s="175" t="str">
        <f>IF(LEN(A360)=0,"",INDEX('Smelter Look-up'!$A:$A,MATCH($A360,'Smelter Look-up'!$E:$E,0)))</f>
        <v/>
      </c>
      <c r="C360" s="179" t="str">
        <f>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51"/>
        <v/>
      </c>
      <c r="T360" s="174" t="str">
        <f ca="1">IF(B360="","",IF(ISERROR(MATCH($J360,SorP!$B$1:$B$6279,0)),"",INDIRECT("'SorP'!$A$"&amp;MATCH($S360&amp;$J360,SorP!C:C,0))))</f>
        <v/>
      </c>
      <c r="U360" s="194"/>
      <c r="V360" s="218" t="e">
        <f>IF(C360="",NA(),IF(OR(C360="Smelter not listed",C360="Smelter not yet identified"),MATCH($B360&amp;$D360,'Smelter Look-up'!$J:$J,0),MATCH($B360&amp;$C360,'Smelter Look-up'!$J:$J,0)))</f>
        <v>#N/A</v>
      </c>
      <c r="X360" s="219">
        <f t="shared" ca="1" si="52"/>
        <v>0</v>
      </c>
      <c r="AB360" s="220" t="str">
        <f t="shared" si="53"/>
        <v/>
      </c>
    </row>
    <row r="361" spans="1:28" s="219" customFormat="1" ht="20.25">
      <c r="A361" s="174"/>
      <c r="B361" s="175" t="str">
        <f>IF(LEN(A361)=0,"",INDEX('Smelter Look-up'!$A:$A,MATCH($A361,'Smelter Look-up'!$E:$E,0)))</f>
        <v/>
      </c>
      <c r="C361" s="179" t="str">
        <f>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51"/>
        <v/>
      </c>
      <c r="T361" s="174" t="str">
        <f ca="1">IF(B361="","",IF(ISERROR(MATCH($J361,SorP!$B$1:$B$6279,0)),"",INDIRECT("'SorP'!$A$"&amp;MATCH($S361&amp;$J361,SorP!C:C,0))))</f>
        <v/>
      </c>
      <c r="U361" s="194"/>
      <c r="V361" s="218" t="e">
        <f>IF(C361="",NA(),IF(OR(C361="Smelter not listed",C361="Smelter not yet identified"),MATCH($B361&amp;$D361,'Smelter Look-up'!$J:$J,0),MATCH($B361&amp;$C361,'Smelter Look-up'!$J:$J,0)))</f>
        <v>#N/A</v>
      </c>
      <c r="X361" s="219">
        <f t="shared" ca="1" si="52"/>
        <v>0</v>
      </c>
      <c r="AB361" s="220" t="str">
        <f t="shared" si="53"/>
        <v/>
      </c>
    </row>
    <row r="362" spans="1:28" s="219" customFormat="1" ht="20.25">
      <c r="A362" s="174"/>
      <c r="B362" s="175" t="str">
        <f>IF(LEN(A362)=0,"",INDEX('Smelter Look-up'!$A:$A,MATCH($A362,'Smelter Look-up'!$E:$E,0)))</f>
        <v/>
      </c>
      <c r="C362" s="179" t="str">
        <f>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51"/>
        <v/>
      </c>
      <c r="T362" s="174" t="str">
        <f ca="1">IF(B362="","",IF(ISERROR(MATCH($J362,SorP!$B$1:$B$6279,0)),"",INDIRECT("'SorP'!$A$"&amp;MATCH($S362&amp;$J362,SorP!C:C,0))))</f>
        <v/>
      </c>
      <c r="U362" s="194"/>
      <c r="V362" s="218" t="e">
        <f>IF(C362="",NA(),IF(OR(C362="Smelter not listed",C362="Smelter not yet identified"),MATCH($B362&amp;$D362,'Smelter Look-up'!$J:$J,0),MATCH($B362&amp;$C362,'Smelter Look-up'!$J:$J,0)))</f>
        <v>#N/A</v>
      </c>
      <c r="X362" s="219">
        <f t="shared" ca="1" si="52"/>
        <v>0</v>
      </c>
      <c r="AB362" s="220" t="str">
        <f t="shared" si="53"/>
        <v/>
      </c>
    </row>
    <row r="363" spans="1:28" s="219" customFormat="1" ht="20.25">
      <c r="A363" s="174"/>
      <c r="B363" s="175" t="str">
        <f>IF(LEN(A363)=0,"",INDEX('Smelter Look-up'!$A:$A,MATCH($A363,'Smelter Look-up'!$E:$E,0)))</f>
        <v/>
      </c>
      <c r="C363" s="179" t="str">
        <f>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51"/>
        <v/>
      </c>
      <c r="T363" s="174" t="str">
        <f ca="1">IF(B363="","",IF(ISERROR(MATCH($J363,SorP!$B$1:$B$6279,0)),"",INDIRECT("'SorP'!$A$"&amp;MATCH($S363&amp;$J363,SorP!C:C,0))))</f>
        <v/>
      </c>
      <c r="U363" s="194"/>
      <c r="V363" s="218" t="e">
        <f>IF(C363="",NA(),IF(OR(C363="Smelter not listed",C363="Smelter not yet identified"),MATCH($B363&amp;$D363,'Smelter Look-up'!$J:$J,0),MATCH($B363&amp;$C363,'Smelter Look-up'!$J:$J,0)))</f>
        <v>#N/A</v>
      </c>
      <c r="X363" s="219">
        <f t="shared" ca="1" si="52"/>
        <v>0</v>
      </c>
      <c r="AB363" s="220" t="str">
        <f t="shared" si="53"/>
        <v/>
      </c>
    </row>
    <row r="364" spans="1:28" s="219" customFormat="1" ht="20.25">
      <c r="A364" s="174"/>
      <c r="B364" s="175" t="str">
        <f>IF(LEN(A364)=0,"",INDEX('Smelter Look-up'!$A:$A,MATCH($A364,'Smelter Look-up'!$E:$E,0)))</f>
        <v/>
      </c>
      <c r="C364" s="179" t="str">
        <f>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51"/>
        <v/>
      </c>
      <c r="T364" s="174" t="str">
        <f ca="1">IF(B364="","",IF(ISERROR(MATCH($J364,SorP!$B$1:$B$6279,0)),"",INDIRECT("'SorP'!$A$"&amp;MATCH($S364&amp;$J364,SorP!C:C,0))))</f>
        <v/>
      </c>
      <c r="U364" s="194"/>
      <c r="V364" s="218" t="e">
        <f>IF(C364="",NA(),IF(OR(C364="Smelter not listed",C364="Smelter not yet identified"),MATCH($B364&amp;$D364,'Smelter Look-up'!$J:$J,0),MATCH($B364&amp;$C364,'Smelter Look-up'!$J:$J,0)))</f>
        <v>#N/A</v>
      </c>
      <c r="X364" s="219">
        <f t="shared" ca="1" si="52"/>
        <v>0</v>
      </c>
      <c r="AB364" s="220" t="str">
        <f t="shared" si="53"/>
        <v/>
      </c>
    </row>
    <row r="365" spans="1:28" s="219" customFormat="1" ht="20.25">
      <c r="A365" s="174"/>
      <c r="B365" s="175" t="str">
        <f>IF(LEN(A365)=0,"",INDEX('Smelter Look-up'!$A:$A,MATCH($A365,'Smelter Look-up'!$E:$E,0)))</f>
        <v/>
      </c>
      <c r="C365" s="179" t="str">
        <f>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51"/>
        <v/>
      </c>
      <c r="T365" s="174" t="str">
        <f ca="1">IF(B365="","",IF(ISERROR(MATCH($J365,SorP!$B$1:$B$6279,0)),"",INDIRECT("'SorP'!$A$"&amp;MATCH($S365&amp;$J365,SorP!C:C,0))))</f>
        <v/>
      </c>
      <c r="U365" s="194"/>
      <c r="V365" s="218" t="e">
        <f>IF(C365="",NA(),IF(OR(C365="Smelter not listed",C365="Smelter not yet identified"),MATCH($B365&amp;$D365,'Smelter Look-up'!$J:$J,0),MATCH($B365&amp;$C365,'Smelter Look-up'!$J:$J,0)))</f>
        <v>#N/A</v>
      </c>
      <c r="X365" s="219">
        <f t="shared" ca="1" si="52"/>
        <v>0</v>
      </c>
      <c r="AB365" s="220" t="str">
        <f t="shared" si="53"/>
        <v/>
      </c>
    </row>
    <row r="366" spans="1:28" s="219" customFormat="1" ht="20.25">
      <c r="A366" s="174"/>
      <c r="B366" s="175" t="str">
        <f>IF(LEN(A366)=0,"",INDEX('Smelter Look-up'!$A:$A,MATCH($A366,'Smelter Look-up'!$E:$E,0)))</f>
        <v/>
      </c>
      <c r="C366" s="179" t="str">
        <f>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51"/>
        <v/>
      </c>
      <c r="T366" s="174" t="str">
        <f ca="1">IF(B366="","",IF(ISERROR(MATCH($J366,SorP!$B$1:$B$6279,0)),"",INDIRECT("'SorP'!$A$"&amp;MATCH($S366&amp;$J366,SorP!C:C,0))))</f>
        <v/>
      </c>
      <c r="U366" s="194"/>
      <c r="V366" s="218" t="e">
        <f>IF(C366="",NA(),IF(OR(C366="Smelter not listed",C366="Smelter not yet identified"),MATCH($B366&amp;$D366,'Smelter Look-up'!$J:$J,0),MATCH($B366&amp;$C366,'Smelter Look-up'!$J:$J,0)))</f>
        <v>#N/A</v>
      </c>
      <c r="X366" s="219">
        <f t="shared" ca="1" si="52"/>
        <v>0</v>
      </c>
      <c r="AB366" s="220" t="str">
        <f t="shared" si="53"/>
        <v/>
      </c>
    </row>
    <row r="367" spans="1:28" s="219" customFormat="1" ht="20.25">
      <c r="A367" s="174"/>
      <c r="B367" s="175" t="str">
        <f>IF(LEN(A367)=0,"",INDEX('Smelter Look-up'!$A:$A,MATCH($A367,'Smelter Look-up'!$E:$E,0)))</f>
        <v/>
      </c>
      <c r="C367" s="179" t="str">
        <f>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51"/>
        <v/>
      </c>
      <c r="T367" s="174" t="str">
        <f ca="1">IF(B367="","",IF(ISERROR(MATCH($J367,SorP!$B$1:$B$6279,0)),"",INDIRECT("'SorP'!$A$"&amp;MATCH($S367&amp;$J367,SorP!C:C,0))))</f>
        <v/>
      </c>
      <c r="U367" s="194"/>
      <c r="V367" s="218" t="e">
        <f>IF(C367="",NA(),IF(OR(C367="Smelter not listed",C367="Smelter not yet identified"),MATCH($B367&amp;$D367,'Smelter Look-up'!$J:$J,0),MATCH($B367&amp;$C367,'Smelter Look-up'!$J:$J,0)))</f>
        <v>#N/A</v>
      </c>
      <c r="X367" s="219">
        <f t="shared" ca="1" si="52"/>
        <v>0</v>
      </c>
      <c r="AB367" s="220" t="str">
        <f t="shared" si="53"/>
        <v/>
      </c>
    </row>
    <row r="368" spans="1:28" s="219" customFormat="1" ht="20.25">
      <c r="A368" s="174"/>
      <c r="B368" s="175" t="str">
        <f>IF(LEN(A368)=0,"",INDEX('Smelter Look-up'!$A:$A,MATCH($A368,'Smelter Look-up'!$E:$E,0)))</f>
        <v/>
      </c>
      <c r="C368" s="179" t="str">
        <f>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51"/>
        <v/>
      </c>
      <c r="T368" s="174" t="str">
        <f ca="1">IF(B368="","",IF(ISERROR(MATCH($J368,SorP!$B$1:$B$6279,0)),"",INDIRECT("'SorP'!$A$"&amp;MATCH($S368&amp;$J368,SorP!C:C,0))))</f>
        <v/>
      </c>
      <c r="U368" s="194"/>
      <c r="V368" s="218" t="e">
        <f>IF(C368="",NA(),IF(OR(C368="Smelter not listed",C368="Smelter not yet identified"),MATCH($B368&amp;$D368,'Smelter Look-up'!$J:$J,0),MATCH($B368&amp;$C368,'Smelter Look-up'!$J:$J,0)))</f>
        <v>#N/A</v>
      </c>
      <c r="X368" s="219">
        <f t="shared" ca="1" si="52"/>
        <v>0</v>
      </c>
      <c r="AB368" s="220" t="str">
        <f t="shared" si="53"/>
        <v/>
      </c>
    </row>
    <row r="369" spans="1:28" s="219" customFormat="1" ht="20.25">
      <c r="A369" s="174"/>
      <c r="B369" s="175" t="str">
        <f>IF(LEN(A369)=0,"",INDEX('Smelter Look-up'!$A:$A,MATCH($A369,'Smelter Look-up'!$E:$E,0)))</f>
        <v/>
      </c>
      <c r="C369" s="179" t="str">
        <f>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51"/>
        <v/>
      </c>
      <c r="T369" s="174" t="str">
        <f ca="1">IF(B369="","",IF(ISERROR(MATCH($J369,SorP!$B$1:$B$6279,0)),"",INDIRECT("'SorP'!$A$"&amp;MATCH($S369&amp;$J369,SorP!C:C,0))))</f>
        <v/>
      </c>
      <c r="U369" s="194"/>
      <c r="V369" s="218" t="e">
        <f>IF(C369="",NA(),IF(OR(C369="Smelter not listed",C369="Smelter not yet identified"),MATCH($B369&amp;$D369,'Smelter Look-up'!$J:$J,0),MATCH($B369&amp;$C369,'Smelter Look-up'!$J:$J,0)))</f>
        <v>#N/A</v>
      </c>
      <c r="X369" s="219">
        <f t="shared" ca="1" si="52"/>
        <v>0</v>
      </c>
      <c r="AB369" s="220" t="str">
        <f t="shared" si="53"/>
        <v/>
      </c>
    </row>
    <row r="370" spans="1:28" s="219" customFormat="1" ht="20.25">
      <c r="A370" s="174"/>
      <c r="B370" s="175" t="str">
        <f>IF(LEN(A370)=0,"",INDEX('Smelter Look-up'!$A:$A,MATCH($A370,'Smelter Look-up'!$E:$E,0)))</f>
        <v/>
      </c>
      <c r="C370" s="179" t="str">
        <f>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51"/>
        <v/>
      </c>
      <c r="T370" s="174" t="str">
        <f ca="1">IF(B370="","",IF(ISERROR(MATCH($J370,SorP!$B$1:$B$6279,0)),"",INDIRECT("'SorP'!$A$"&amp;MATCH($S370&amp;$J370,SorP!C:C,0))))</f>
        <v/>
      </c>
      <c r="U370" s="194"/>
      <c r="V370" s="218" t="e">
        <f>IF(C370="",NA(),IF(OR(C370="Smelter not listed",C370="Smelter not yet identified"),MATCH($B370&amp;$D370,'Smelter Look-up'!$J:$J,0),MATCH($B370&amp;$C370,'Smelter Look-up'!$J:$J,0)))</f>
        <v>#N/A</v>
      </c>
      <c r="X370" s="219">
        <f t="shared" ca="1" si="52"/>
        <v>0</v>
      </c>
      <c r="AB370" s="220" t="str">
        <f t="shared" si="53"/>
        <v/>
      </c>
    </row>
    <row r="371" spans="1:28" s="219" customFormat="1" ht="20.25">
      <c r="A371" s="174"/>
      <c r="B371" s="175" t="str">
        <f>IF(LEN(A371)=0,"",INDEX('Smelter Look-up'!$A:$A,MATCH($A371,'Smelter Look-up'!$E:$E,0)))</f>
        <v/>
      </c>
      <c r="C371" s="179" t="str">
        <f>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51"/>
        <v/>
      </c>
      <c r="T371" s="174" t="str">
        <f ca="1">IF(B371="","",IF(ISERROR(MATCH($J371,SorP!$B$1:$B$6279,0)),"",INDIRECT("'SorP'!$A$"&amp;MATCH($S371&amp;$J371,SorP!C:C,0))))</f>
        <v/>
      </c>
      <c r="U371" s="194"/>
      <c r="V371" s="218" t="e">
        <f>IF(C371="",NA(),IF(OR(C371="Smelter not listed",C371="Smelter not yet identified"),MATCH($B371&amp;$D371,'Smelter Look-up'!$J:$J,0),MATCH($B371&amp;$C371,'Smelter Look-up'!$J:$J,0)))</f>
        <v>#N/A</v>
      </c>
      <c r="X371" s="219">
        <f t="shared" ca="1" si="52"/>
        <v>0</v>
      </c>
      <c r="AB371" s="220" t="str">
        <f t="shared" si="53"/>
        <v/>
      </c>
    </row>
    <row r="372" spans="1:28" s="219" customFormat="1" ht="20.25">
      <c r="A372" s="174"/>
      <c r="B372" s="175" t="str">
        <f>IF(LEN(A372)=0,"",INDEX('Smelter Look-up'!$A:$A,MATCH($A372,'Smelter Look-up'!$E:$E,0)))</f>
        <v/>
      </c>
      <c r="C372" s="179" t="str">
        <f>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51"/>
        <v/>
      </c>
      <c r="T372" s="174" t="str">
        <f ca="1">IF(B372="","",IF(ISERROR(MATCH($J372,SorP!$B$1:$B$6279,0)),"",INDIRECT("'SorP'!$A$"&amp;MATCH($S372&amp;$J372,SorP!C:C,0))))</f>
        <v/>
      </c>
      <c r="U372" s="194"/>
      <c r="V372" s="218" t="e">
        <f>IF(C372="",NA(),IF(OR(C372="Smelter not listed",C372="Smelter not yet identified"),MATCH($B372&amp;$D372,'Smelter Look-up'!$J:$J,0),MATCH($B372&amp;$C372,'Smelter Look-up'!$J:$J,0)))</f>
        <v>#N/A</v>
      </c>
      <c r="X372" s="219">
        <f t="shared" ca="1" si="52"/>
        <v>0</v>
      </c>
      <c r="AB372" s="220" t="str">
        <f t="shared" si="53"/>
        <v/>
      </c>
    </row>
    <row r="373" spans="1:28" s="219" customFormat="1" ht="20.25">
      <c r="A373" s="174"/>
      <c r="B373" s="175" t="str">
        <f>IF(LEN(A373)=0,"",INDEX('Smelter Look-up'!$A:$A,MATCH($A373,'Smelter Look-up'!$E:$E,0)))</f>
        <v/>
      </c>
      <c r="C373" s="179" t="str">
        <f>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51"/>
        <v/>
      </c>
      <c r="T373" s="174" t="str">
        <f ca="1">IF(B373="","",IF(ISERROR(MATCH($J373,SorP!$B$1:$B$6279,0)),"",INDIRECT("'SorP'!$A$"&amp;MATCH($S373&amp;$J373,SorP!C:C,0))))</f>
        <v/>
      </c>
      <c r="U373" s="194"/>
      <c r="V373" s="218" t="e">
        <f>IF(C373="",NA(),IF(OR(C373="Smelter not listed",C373="Smelter not yet identified"),MATCH($B373&amp;$D373,'Smelter Look-up'!$J:$J,0),MATCH($B373&amp;$C373,'Smelter Look-up'!$J:$J,0)))</f>
        <v>#N/A</v>
      </c>
      <c r="X373" s="219">
        <f t="shared" ca="1" si="52"/>
        <v>0</v>
      </c>
      <c r="AB373" s="220" t="str">
        <f t="shared" si="53"/>
        <v/>
      </c>
    </row>
    <row r="374" spans="1:28" s="219" customFormat="1" ht="20.25">
      <c r="A374" s="174"/>
      <c r="B374" s="175" t="str">
        <f>IF(LEN(A374)=0,"",INDEX('Smelter Look-up'!$A:$A,MATCH($A374,'Smelter Look-up'!$E:$E,0)))</f>
        <v/>
      </c>
      <c r="C374" s="179" t="str">
        <f>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51"/>
        <v/>
      </c>
      <c r="T374" s="174" t="str">
        <f ca="1">IF(B374="","",IF(ISERROR(MATCH($J374,SorP!$B$1:$B$6279,0)),"",INDIRECT("'SorP'!$A$"&amp;MATCH($S374&amp;$J374,SorP!C:C,0))))</f>
        <v/>
      </c>
      <c r="U374" s="194"/>
      <c r="V374" s="218" t="e">
        <f>IF(C374="",NA(),IF(OR(C374="Smelter not listed",C374="Smelter not yet identified"),MATCH($B374&amp;$D374,'Smelter Look-up'!$J:$J,0),MATCH($B374&amp;$C374,'Smelter Look-up'!$J:$J,0)))</f>
        <v>#N/A</v>
      </c>
      <c r="X374" s="219">
        <f t="shared" ca="1" si="52"/>
        <v>0</v>
      </c>
      <c r="AB374" s="220" t="str">
        <f t="shared" si="53"/>
        <v/>
      </c>
    </row>
    <row r="375" spans="1:28" s="219" customFormat="1" ht="20.25">
      <c r="A375" s="174"/>
      <c r="B375" s="175" t="str">
        <f>IF(LEN(A375)=0,"",INDEX('Smelter Look-up'!$A:$A,MATCH($A375,'Smelter Look-up'!$E:$E,0)))</f>
        <v/>
      </c>
      <c r="C375" s="179" t="str">
        <f>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51"/>
        <v/>
      </c>
      <c r="T375" s="174" t="str">
        <f ca="1">IF(B375="","",IF(ISERROR(MATCH($J375,SorP!$B$1:$B$6279,0)),"",INDIRECT("'SorP'!$A$"&amp;MATCH($S375&amp;$J375,SorP!C:C,0))))</f>
        <v/>
      </c>
      <c r="U375" s="194"/>
      <c r="V375" s="218" t="e">
        <f>IF(C375="",NA(),IF(OR(C375="Smelter not listed",C375="Smelter not yet identified"),MATCH($B375&amp;$D375,'Smelter Look-up'!$J:$J,0),MATCH($B375&amp;$C375,'Smelter Look-up'!$J:$J,0)))</f>
        <v>#N/A</v>
      </c>
      <c r="X375" s="219">
        <f t="shared" ca="1" si="52"/>
        <v>0</v>
      </c>
      <c r="AB375" s="220" t="str">
        <f t="shared" si="53"/>
        <v/>
      </c>
    </row>
    <row r="376" spans="1:28" s="219" customFormat="1" ht="20.25">
      <c r="A376" s="174"/>
      <c r="B376" s="175" t="str">
        <f>IF(LEN(A376)=0,"",INDEX('Smelter Look-up'!$A:$A,MATCH($A376,'Smelter Look-up'!$E:$E,0)))</f>
        <v/>
      </c>
      <c r="C376" s="179" t="str">
        <f>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51"/>
        <v/>
      </c>
      <c r="T376" s="174" t="str">
        <f ca="1">IF(B376="","",IF(ISERROR(MATCH($J376,SorP!$B$1:$B$6279,0)),"",INDIRECT("'SorP'!$A$"&amp;MATCH($S376&amp;$J376,SorP!C:C,0))))</f>
        <v/>
      </c>
      <c r="U376" s="194"/>
      <c r="V376" s="218" t="e">
        <f>IF(C376="",NA(),IF(OR(C376="Smelter not listed",C376="Smelter not yet identified"),MATCH($B376&amp;$D376,'Smelter Look-up'!$J:$J,0),MATCH($B376&amp;$C376,'Smelter Look-up'!$J:$J,0)))</f>
        <v>#N/A</v>
      </c>
      <c r="X376" s="219">
        <f t="shared" ca="1" si="52"/>
        <v>0</v>
      </c>
      <c r="AB376" s="220" t="str">
        <f t="shared" si="53"/>
        <v/>
      </c>
    </row>
    <row r="377" spans="1:28" s="219" customFormat="1" ht="20.25">
      <c r="A377" s="174"/>
      <c r="B377" s="175" t="str">
        <f>IF(LEN(A377)=0,"",INDEX('Smelter Look-up'!$A:$A,MATCH($A377,'Smelter Look-up'!$E:$E,0)))</f>
        <v/>
      </c>
      <c r="C377" s="179" t="str">
        <f>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51"/>
        <v/>
      </c>
      <c r="T377" s="174" t="str">
        <f ca="1">IF(B377="","",IF(ISERROR(MATCH($J377,SorP!$B$1:$B$6279,0)),"",INDIRECT("'SorP'!$A$"&amp;MATCH($S377&amp;$J377,SorP!C:C,0))))</f>
        <v/>
      </c>
      <c r="U377" s="194"/>
      <c r="V377" s="218" t="e">
        <f>IF(C377="",NA(),IF(OR(C377="Smelter not listed",C377="Smelter not yet identified"),MATCH($B377&amp;$D377,'Smelter Look-up'!$J:$J,0),MATCH($B377&amp;$C377,'Smelter Look-up'!$J:$J,0)))</f>
        <v>#N/A</v>
      </c>
      <c r="X377" s="219">
        <f t="shared" ca="1" si="52"/>
        <v>0</v>
      </c>
      <c r="AB377" s="220" t="str">
        <f t="shared" si="53"/>
        <v/>
      </c>
    </row>
    <row r="378" spans="1:28" s="219" customFormat="1" ht="20.25">
      <c r="A378" s="174"/>
      <c r="B378" s="175" t="str">
        <f>IF(LEN(A378)=0,"",INDEX('Smelter Look-up'!$A:$A,MATCH($A378,'Smelter Look-up'!$E:$E,0)))</f>
        <v/>
      </c>
      <c r="C378" s="179" t="str">
        <f>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51"/>
        <v/>
      </c>
      <c r="T378" s="174" t="str">
        <f ca="1">IF(B378="","",IF(ISERROR(MATCH($J378,SorP!$B$1:$B$6279,0)),"",INDIRECT("'SorP'!$A$"&amp;MATCH($S378&amp;$J378,SorP!C:C,0))))</f>
        <v/>
      </c>
      <c r="U378" s="194"/>
      <c r="V378" s="218" t="e">
        <f>IF(C378="",NA(),IF(OR(C378="Smelter not listed",C378="Smelter not yet identified"),MATCH($B378&amp;$D378,'Smelter Look-up'!$J:$J,0),MATCH($B378&amp;$C378,'Smelter Look-up'!$J:$J,0)))</f>
        <v>#N/A</v>
      </c>
      <c r="X378" s="219">
        <f t="shared" ca="1" si="52"/>
        <v>0</v>
      </c>
      <c r="AB378" s="220" t="str">
        <f t="shared" si="53"/>
        <v/>
      </c>
    </row>
    <row r="379" spans="1:28" s="219" customFormat="1" ht="20.25">
      <c r="A379" s="174"/>
      <c r="B379" s="175" t="str">
        <f>IF(LEN(A379)=0,"",INDEX('Smelter Look-up'!$A:$A,MATCH($A379,'Smelter Look-up'!$E:$E,0)))</f>
        <v/>
      </c>
      <c r="C379" s="179" t="str">
        <f>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51"/>
        <v/>
      </c>
      <c r="T379" s="174" t="str">
        <f ca="1">IF(B379="","",IF(ISERROR(MATCH($J379,SorP!$B$1:$B$6279,0)),"",INDIRECT("'SorP'!$A$"&amp;MATCH($S379&amp;$J379,SorP!C:C,0))))</f>
        <v/>
      </c>
      <c r="U379" s="194"/>
      <c r="V379" s="218" t="e">
        <f>IF(C379="",NA(),IF(OR(C379="Smelter not listed",C379="Smelter not yet identified"),MATCH($B379&amp;$D379,'Smelter Look-up'!$J:$J,0),MATCH($B379&amp;$C379,'Smelter Look-up'!$J:$J,0)))</f>
        <v>#N/A</v>
      </c>
      <c r="X379" s="219">
        <f t="shared" ca="1" si="52"/>
        <v>0</v>
      </c>
      <c r="AB379" s="220" t="str">
        <f t="shared" si="53"/>
        <v/>
      </c>
    </row>
    <row r="380" spans="1:28" s="219" customFormat="1" ht="20.25">
      <c r="A380" s="174"/>
      <c r="B380" s="175" t="str">
        <f>IF(LEN(A380)=0,"",INDEX('Smelter Look-up'!$A:$A,MATCH($A380,'Smelter Look-up'!$E:$E,0)))</f>
        <v/>
      </c>
      <c r="C380" s="179" t="str">
        <f>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51"/>
        <v/>
      </c>
      <c r="T380" s="174" t="str">
        <f ca="1">IF(B380="","",IF(ISERROR(MATCH($J380,SorP!$B$1:$B$6279,0)),"",INDIRECT("'SorP'!$A$"&amp;MATCH($S380&amp;$J380,SorP!C:C,0))))</f>
        <v/>
      </c>
      <c r="U380" s="194"/>
      <c r="V380" s="218" t="e">
        <f>IF(C380="",NA(),IF(OR(C380="Smelter not listed",C380="Smelter not yet identified"),MATCH($B380&amp;$D380,'Smelter Look-up'!$J:$J,0),MATCH($B380&amp;$C380,'Smelter Look-up'!$J:$J,0)))</f>
        <v>#N/A</v>
      </c>
      <c r="X380" s="219">
        <f t="shared" ca="1" si="52"/>
        <v>0</v>
      </c>
      <c r="AB380" s="220" t="str">
        <f t="shared" si="53"/>
        <v/>
      </c>
    </row>
    <row r="381" spans="1:28" s="219" customFormat="1" ht="20.25">
      <c r="A381" s="174"/>
      <c r="B381" s="175" t="str">
        <f>IF(LEN(A381)=0,"",INDEX('Smelter Look-up'!$A:$A,MATCH($A381,'Smelter Look-up'!$E:$E,0)))</f>
        <v/>
      </c>
      <c r="C381" s="179" t="str">
        <f>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51"/>
        <v/>
      </c>
      <c r="T381" s="174" t="str">
        <f ca="1">IF(B381="","",IF(ISERROR(MATCH($J381,SorP!$B$1:$B$6279,0)),"",INDIRECT("'SorP'!$A$"&amp;MATCH($S381&amp;$J381,SorP!C:C,0))))</f>
        <v/>
      </c>
      <c r="U381" s="194"/>
      <c r="V381" s="218" t="e">
        <f>IF(C381="",NA(),IF(OR(C381="Smelter not listed",C381="Smelter not yet identified"),MATCH($B381&amp;$D381,'Smelter Look-up'!$J:$J,0),MATCH($B381&amp;$C381,'Smelter Look-up'!$J:$J,0)))</f>
        <v>#N/A</v>
      </c>
      <c r="X381" s="219">
        <f t="shared" ca="1" si="52"/>
        <v>0</v>
      </c>
      <c r="AB381" s="220" t="str">
        <f t="shared" si="53"/>
        <v/>
      </c>
    </row>
    <row r="382" spans="1:28" s="219" customFormat="1" ht="20.25">
      <c r="A382" s="174"/>
      <c r="B382" s="175" t="str">
        <f>IF(LEN(A382)=0,"",INDEX('Smelter Look-up'!$A:$A,MATCH($A382,'Smelter Look-up'!$E:$E,0)))</f>
        <v/>
      </c>
      <c r="C382" s="179" t="str">
        <f>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51"/>
        <v/>
      </c>
      <c r="T382" s="174" t="str">
        <f ca="1">IF(B382="","",IF(ISERROR(MATCH($J382,SorP!$B$1:$B$6279,0)),"",INDIRECT("'SorP'!$A$"&amp;MATCH($S382&amp;$J382,SorP!C:C,0))))</f>
        <v/>
      </c>
      <c r="U382" s="194"/>
      <c r="V382" s="218" t="e">
        <f>IF(C382="",NA(),IF(OR(C382="Smelter not listed",C382="Smelter not yet identified"),MATCH($B382&amp;$D382,'Smelter Look-up'!$J:$J,0),MATCH($B382&amp;$C382,'Smelter Look-up'!$J:$J,0)))</f>
        <v>#N/A</v>
      </c>
      <c r="X382" s="219">
        <f t="shared" ca="1" si="52"/>
        <v>0</v>
      </c>
      <c r="AB382" s="220" t="str">
        <f t="shared" si="53"/>
        <v/>
      </c>
    </row>
    <row r="383" spans="1:28" s="219" customFormat="1" ht="20.25">
      <c r="A383" s="174"/>
      <c r="B383" s="175" t="str">
        <f>IF(LEN(A383)=0,"",INDEX('Smelter Look-up'!$A:$A,MATCH($A383,'Smelter Look-up'!$E:$E,0)))</f>
        <v/>
      </c>
      <c r="C383" s="179" t="str">
        <f>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51"/>
        <v/>
      </c>
      <c r="T383" s="174" t="str">
        <f ca="1">IF(B383="","",IF(ISERROR(MATCH($J383,SorP!$B$1:$B$6279,0)),"",INDIRECT("'SorP'!$A$"&amp;MATCH($S383&amp;$J383,SorP!C:C,0))))</f>
        <v/>
      </c>
      <c r="U383" s="194"/>
      <c r="V383" s="218" t="e">
        <f>IF(C383="",NA(),IF(OR(C383="Smelter not listed",C383="Smelter not yet identified"),MATCH($B383&amp;$D383,'Smelter Look-up'!$J:$J,0),MATCH($B383&amp;$C383,'Smelter Look-up'!$J:$J,0)))</f>
        <v>#N/A</v>
      </c>
      <c r="X383" s="219">
        <f t="shared" ca="1" si="52"/>
        <v>0</v>
      </c>
      <c r="AB383" s="220" t="str">
        <f t="shared" si="53"/>
        <v/>
      </c>
    </row>
    <row r="384" spans="1:28" s="219" customFormat="1" ht="20.25">
      <c r="A384" s="174"/>
      <c r="B384" s="175" t="str">
        <f>IF(LEN(A384)=0,"",INDEX('Smelter Look-up'!$A:$A,MATCH($A384,'Smelter Look-up'!$E:$E,0)))</f>
        <v/>
      </c>
      <c r="C384" s="179" t="str">
        <f>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51"/>
        <v/>
      </c>
      <c r="T384" s="174" t="str">
        <f ca="1">IF(B384="","",IF(ISERROR(MATCH($J384,SorP!$B$1:$B$6279,0)),"",INDIRECT("'SorP'!$A$"&amp;MATCH($S384&amp;$J384,SorP!C:C,0))))</f>
        <v/>
      </c>
      <c r="U384" s="194"/>
      <c r="V384" s="218" t="e">
        <f>IF(C384="",NA(),IF(OR(C384="Smelter not listed",C384="Smelter not yet identified"),MATCH($B384&amp;$D384,'Smelter Look-up'!$J:$J,0),MATCH($B384&amp;$C384,'Smelter Look-up'!$J:$J,0)))</f>
        <v>#N/A</v>
      </c>
      <c r="X384" s="219">
        <f t="shared" ca="1" si="52"/>
        <v>0</v>
      </c>
      <c r="AB384" s="220" t="str">
        <f t="shared" si="53"/>
        <v/>
      </c>
    </row>
    <row r="385" spans="1:28" s="219" customFormat="1" ht="20.25">
      <c r="A385" s="174"/>
      <c r="B385" s="175" t="str">
        <f>IF(LEN(A385)=0,"",INDEX('Smelter Look-up'!$A:$A,MATCH($A385,'Smelter Look-up'!$E:$E,0)))</f>
        <v/>
      </c>
      <c r="C385" s="179" t="str">
        <f>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51"/>
        <v/>
      </c>
      <c r="T385" s="174" t="str">
        <f ca="1">IF(B385="","",IF(ISERROR(MATCH($J385,SorP!$B$1:$B$6279,0)),"",INDIRECT("'SorP'!$A$"&amp;MATCH($S385&amp;$J385,SorP!C:C,0))))</f>
        <v/>
      </c>
      <c r="U385" s="194"/>
      <c r="V385" s="218" t="e">
        <f>IF(C385="",NA(),IF(OR(C385="Smelter not listed",C385="Smelter not yet identified"),MATCH($B385&amp;$D385,'Smelter Look-up'!$J:$J,0),MATCH($B385&amp;$C385,'Smelter Look-up'!$J:$J,0)))</f>
        <v>#N/A</v>
      </c>
      <c r="X385" s="219">
        <f t="shared" ca="1" si="52"/>
        <v>0</v>
      </c>
      <c r="AB385" s="220" t="str">
        <f t="shared" si="53"/>
        <v/>
      </c>
    </row>
    <row r="386" spans="1:28" s="219" customFormat="1" ht="20.25">
      <c r="A386" s="174"/>
      <c r="B386" s="175" t="str">
        <f>IF(LEN(A386)=0,"",INDEX('Smelter Look-up'!$A:$A,MATCH($A386,'Smelter Look-up'!$E:$E,0)))</f>
        <v/>
      </c>
      <c r="C386" s="179" t="str">
        <f>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51"/>
        <v/>
      </c>
      <c r="T386" s="174" t="str">
        <f ca="1">IF(B386="","",IF(ISERROR(MATCH($J386,SorP!$B$1:$B$6279,0)),"",INDIRECT("'SorP'!$A$"&amp;MATCH($S386&amp;$J386,SorP!C:C,0))))</f>
        <v/>
      </c>
      <c r="U386" s="194"/>
      <c r="V386" s="218" t="e">
        <f>IF(C386="",NA(),IF(OR(C386="Smelter not listed",C386="Smelter not yet identified"),MATCH($B386&amp;$D386,'Smelter Look-up'!$J:$J,0),MATCH($B386&amp;$C386,'Smelter Look-up'!$J:$J,0)))</f>
        <v>#N/A</v>
      </c>
      <c r="X386" s="219">
        <f t="shared" ca="1" si="52"/>
        <v>0</v>
      </c>
      <c r="AB386" s="220" t="str">
        <f t="shared" si="53"/>
        <v/>
      </c>
    </row>
    <row r="387" spans="1:28" s="219" customFormat="1" ht="20.25">
      <c r="A387" s="174"/>
      <c r="B387" s="175" t="str">
        <f>IF(LEN(A387)=0,"",INDEX('Smelter Look-up'!$A:$A,MATCH($A387,'Smelter Look-up'!$E:$E,0)))</f>
        <v/>
      </c>
      <c r="C387" s="179" t="str">
        <f>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51"/>
        <v/>
      </c>
      <c r="T387" s="174" t="str">
        <f ca="1">IF(B387="","",IF(ISERROR(MATCH($J387,SorP!$B$1:$B$6279,0)),"",INDIRECT("'SorP'!$A$"&amp;MATCH($S387&amp;$J387,SorP!C:C,0))))</f>
        <v/>
      </c>
      <c r="U387" s="194"/>
      <c r="V387" s="218" t="e">
        <f>IF(C387="",NA(),IF(OR(C387="Smelter not listed",C387="Smelter not yet identified"),MATCH($B387&amp;$D387,'Smelter Look-up'!$J:$J,0),MATCH($B387&amp;$C387,'Smelter Look-up'!$J:$J,0)))</f>
        <v>#N/A</v>
      </c>
      <c r="X387" s="219">
        <f t="shared" ca="1" si="52"/>
        <v>0</v>
      </c>
      <c r="AB387" s="220" t="str">
        <f t="shared" si="53"/>
        <v/>
      </c>
    </row>
    <row r="388" spans="1:28" s="219" customFormat="1" ht="20.25">
      <c r="A388" s="174"/>
      <c r="B388" s="175" t="str">
        <f>IF(LEN(A388)=0,"",INDEX('Smelter Look-up'!$A:$A,MATCH($A388,'Smelter Look-up'!$E:$E,0)))</f>
        <v/>
      </c>
      <c r="C388" s="179" t="str">
        <f>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ca="1" si="51"/>
        <v/>
      </c>
      <c r="T388" s="174" t="str">
        <f ca="1">IF(B388="","",IF(ISERROR(MATCH($J388,SorP!$B$1:$B$6279,0)),"",INDIRECT("'SorP'!$A$"&amp;MATCH($S388&amp;$J388,SorP!C:C,0))))</f>
        <v/>
      </c>
      <c r="U388" s="194"/>
      <c r="V388" s="218" t="e">
        <f>IF(C388="",NA(),IF(OR(C388="Smelter not listed",C388="Smelter not yet identified"),MATCH($B388&amp;$D388,'Smelter Look-up'!$J:$J,0),MATCH($B388&amp;$C388,'Smelter Look-up'!$J:$J,0)))</f>
        <v>#N/A</v>
      </c>
      <c r="X388" s="219">
        <f t="shared" ca="1" si="52"/>
        <v>0</v>
      </c>
      <c r="AB388" s="220" t="str">
        <f t="shared" si="53"/>
        <v/>
      </c>
    </row>
    <row r="389" spans="1:28" s="219" customFormat="1" ht="20.25">
      <c r="A389" s="174"/>
      <c r="B389" s="175" t="str">
        <f>IF(LEN(A389)=0,"",INDEX('Smelter Look-up'!$A:$A,MATCH($A389,'Smelter Look-up'!$E:$E,0)))</f>
        <v/>
      </c>
      <c r="C389" s="179" t="str">
        <f>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ref="S389" ca="1" si="54">IF(B389="","",IF(ISERROR(MATCH($E389,CL,0)),"Unknown",INDIRECT("'C'!$A$"&amp;MATCH($E389,CL,0)+1)))</f>
        <v/>
      </c>
      <c r="T389" s="174" t="str">
        <f ca="1">IF(B389="","",IF(ISERROR(MATCH($J389,SorP!$B$1:$B$6279,0)),"",INDIRECT("'SorP'!$A$"&amp;MATCH($S389&amp;$J389,SorP!C:C,0))))</f>
        <v/>
      </c>
      <c r="U389" s="194"/>
      <c r="V389" s="218" t="e">
        <f>IF(C389="",NA(),IF(OR(C389="Smelter not listed",C389="Smelter not yet identified"),MATCH($B389&amp;$D389,'Smelter Look-up'!$J:$J,0),MATCH($B389&amp;$C389,'Smelter Look-up'!$J:$J,0)))</f>
        <v>#N/A</v>
      </c>
      <c r="X389" s="219">
        <f t="shared" ref="X389" ca="1" si="55">IF(AND(C389="Smelter not listed",OR(LEN(D389)=0,LEN(E389)=0)),1,0)</f>
        <v>0</v>
      </c>
      <c r="AB389" s="220" t="str">
        <f t="shared" ref="AB389" si="56">B389&amp;C389</f>
        <v/>
      </c>
    </row>
    <row r="390" spans="1:28" s="219" customFormat="1" ht="20.25">
      <c r="A390" s="174"/>
      <c r="B390" s="175" t="str">
        <f>IF(LEN(A390)=0,"",INDEX('Smelter Look-up'!$A:$A,MATCH($A390,'Smelter Look-up'!$E:$E,0)))</f>
        <v/>
      </c>
      <c r="C390" s="179" t="str">
        <f>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ref="S390:S421" ca="1" si="57">IF(B390="","",IF(ISERROR(MATCH($E390,CL,0)),"Unknown",INDIRECT("'C'!$A$"&amp;MATCH($E390,CL,0)+1)))</f>
        <v/>
      </c>
      <c r="T390" s="174" t="str">
        <f ca="1">IF(B390="","",IF(ISERROR(MATCH($J390,SorP!$B$1:$B$6279,0)),"",INDIRECT("'SorP'!$A$"&amp;MATCH($S390&amp;$J390,SorP!C:C,0))))</f>
        <v/>
      </c>
      <c r="U390" s="194"/>
      <c r="V390" s="218" t="e">
        <f>IF(C390="",NA(),IF(OR(C390="Smelter not listed",C390="Smelter not yet identified"),MATCH($B390&amp;$D390,'Smelter Look-up'!$J:$J,0),MATCH($B390&amp;$C390,'Smelter Look-up'!$J:$J,0)))</f>
        <v>#N/A</v>
      </c>
      <c r="X390" s="219">
        <f t="shared" ref="X390:X421" ca="1" si="58">IF(AND(C390="Smelter not listed",OR(LEN(D390)=0,LEN(E390)=0)),1,0)</f>
        <v>0</v>
      </c>
      <c r="AB390" s="220" t="str">
        <f t="shared" ref="AB390:AB421" si="59">B390&amp;C390</f>
        <v/>
      </c>
    </row>
    <row r="391" spans="1:28" s="219" customFormat="1" ht="20.25">
      <c r="A391" s="174"/>
      <c r="B391" s="175" t="str">
        <f>IF(LEN(A391)=0,"",INDEX('Smelter Look-up'!$A:$A,MATCH($A391,'Smelter Look-up'!$E:$E,0)))</f>
        <v/>
      </c>
      <c r="C391" s="179" t="str">
        <f>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57"/>
        <v/>
      </c>
      <c r="T391" s="174" t="str">
        <f ca="1">IF(B391="","",IF(ISERROR(MATCH($J391,SorP!$B$1:$B$6279,0)),"",INDIRECT("'SorP'!$A$"&amp;MATCH($S391&amp;$J391,SorP!C:C,0))))</f>
        <v/>
      </c>
      <c r="U391" s="194"/>
      <c r="V391" s="218" t="e">
        <f>IF(C391="",NA(),IF(OR(C391="Smelter not listed",C391="Smelter not yet identified"),MATCH($B391&amp;$D391,'Smelter Look-up'!$J:$J,0),MATCH($B391&amp;$C391,'Smelter Look-up'!$J:$J,0)))</f>
        <v>#N/A</v>
      </c>
      <c r="X391" s="219">
        <f t="shared" ca="1" si="58"/>
        <v>0</v>
      </c>
      <c r="AB391" s="220" t="str">
        <f t="shared" si="59"/>
        <v/>
      </c>
    </row>
    <row r="392" spans="1:28" s="219" customFormat="1" ht="20.25">
      <c r="A392" s="174"/>
      <c r="B392" s="175" t="str">
        <f>IF(LEN(A392)=0,"",INDEX('Smelter Look-up'!$A:$A,MATCH($A392,'Smelter Look-up'!$E:$E,0)))</f>
        <v/>
      </c>
      <c r="C392" s="179" t="str">
        <f>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57"/>
        <v/>
      </c>
      <c r="T392" s="174" t="str">
        <f ca="1">IF(B392="","",IF(ISERROR(MATCH($J392,SorP!$B$1:$B$6279,0)),"",INDIRECT("'SorP'!$A$"&amp;MATCH($S392&amp;$J392,SorP!C:C,0))))</f>
        <v/>
      </c>
      <c r="U392" s="194"/>
      <c r="V392" s="218" t="e">
        <f>IF(C392="",NA(),IF(OR(C392="Smelter not listed",C392="Smelter not yet identified"),MATCH($B392&amp;$D392,'Smelter Look-up'!$J:$J,0),MATCH($B392&amp;$C392,'Smelter Look-up'!$J:$J,0)))</f>
        <v>#N/A</v>
      </c>
      <c r="X392" s="219">
        <f t="shared" ca="1" si="58"/>
        <v>0</v>
      </c>
      <c r="AB392" s="220" t="str">
        <f t="shared" si="59"/>
        <v/>
      </c>
    </row>
    <row r="393" spans="1:28" s="219" customFormat="1" ht="20.25">
      <c r="A393" s="174"/>
      <c r="B393" s="175" t="str">
        <f>IF(LEN(A393)=0,"",INDEX('Smelter Look-up'!$A:$A,MATCH($A393,'Smelter Look-up'!$E:$E,0)))</f>
        <v/>
      </c>
      <c r="C393" s="179" t="str">
        <f>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57"/>
        <v/>
      </c>
      <c r="T393" s="174" t="str">
        <f ca="1">IF(B393="","",IF(ISERROR(MATCH($J393,SorP!$B$1:$B$6279,0)),"",INDIRECT("'SorP'!$A$"&amp;MATCH($S393&amp;$J393,SorP!C:C,0))))</f>
        <v/>
      </c>
      <c r="U393" s="194"/>
      <c r="V393" s="218" t="e">
        <f>IF(C393="",NA(),IF(OR(C393="Smelter not listed",C393="Smelter not yet identified"),MATCH($B393&amp;$D393,'Smelter Look-up'!$J:$J,0),MATCH($B393&amp;$C393,'Smelter Look-up'!$J:$J,0)))</f>
        <v>#N/A</v>
      </c>
      <c r="X393" s="219">
        <f t="shared" ca="1" si="58"/>
        <v>0</v>
      </c>
      <c r="AB393" s="220" t="str">
        <f t="shared" si="59"/>
        <v/>
      </c>
    </row>
    <row r="394" spans="1:28" s="219" customFormat="1" ht="20.25">
      <c r="A394" s="174"/>
      <c r="B394" s="175" t="str">
        <f>IF(LEN(A394)=0,"",INDEX('Smelter Look-up'!$A:$A,MATCH($A394,'Smelter Look-up'!$E:$E,0)))</f>
        <v/>
      </c>
      <c r="C394" s="179" t="str">
        <f>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57"/>
        <v/>
      </c>
      <c r="T394" s="174" t="str">
        <f ca="1">IF(B394="","",IF(ISERROR(MATCH($J394,SorP!$B$1:$B$6279,0)),"",INDIRECT("'SorP'!$A$"&amp;MATCH($S394&amp;$J394,SorP!C:C,0))))</f>
        <v/>
      </c>
      <c r="U394" s="194"/>
      <c r="V394" s="218" t="e">
        <f>IF(C394="",NA(),IF(OR(C394="Smelter not listed",C394="Smelter not yet identified"),MATCH($B394&amp;$D394,'Smelter Look-up'!$J:$J,0),MATCH($B394&amp;$C394,'Smelter Look-up'!$J:$J,0)))</f>
        <v>#N/A</v>
      </c>
      <c r="X394" s="219">
        <f t="shared" ca="1" si="58"/>
        <v>0</v>
      </c>
      <c r="AB394" s="220" t="str">
        <f t="shared" si="59"/>
        <v/>
      </c>
    </row>
    <row r="395" spans="1:28" s="219" customFormat="1" ht="20.25">
      <c r="A395" s="174"/>
      <c r="B395" s="175" t="str">
        <f>IF(LEN(A395)=0,"",INDEX('Smelter Look-up'!$A:$A,MATCH($A395,'Smelter Look-up'!$E:$E,0)))</f>
        <v/>
      </c>
      <c r="C395" s="179" t="str">
        <f>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57"/>
        <v/>
      </c>
      <c r="T395" s="174" t="str">
        <f ca="1">IF(B395="","",IF(ISERROR(MATCH($J395,SorP!$B$1:$B$6279,0)),"",INDIRECT("'SorP'!$A$"&amp;MATCH($S395&amp;$J395,SorP!C:C,0))))</f>
        <v/>
      </c>
      <c r="U395" s="194"/>
      <c r="V395" s="218" t="e">
        <f>IF(C395="",NA(),IF(OR(C395="Smelter not listed",C395="Smelter not yet identified"),MATCH($B395&amp;$D395,'Smelter Look-up'!$J:$J,0),MATCH($B395&amp;$C395,'Smelter Look-up'!$J:$J,0)))</f>
        <v>#N/A</v>
      </c>
      <c r="X395" s="219">
        <f t="shared" ca="1" si="58"/>
        <v>0</v>
      </c>
      <c r="AB395" s="220" t="str">
        <f t="shared" si="59"/>
        <v/>
      </c>
    </row>
    <row r="396" spans="1:28" s="219" customFormat="1" ht="20.25">
      <c r="A396" s="174"/>
      <c r="B396" s="175" t="str">
        <f>IF(LEN(A396)=0,"",INDEX('Smelter Look-up'!$A:$A,MATCH($A396,'Smelter Look-up'!$E:$E,0)))</f>
        <v/>
      </c>
      <c r="C396" s="179" t="str">
        <f>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57"/>
        <v/>
      </c>
      <c r="T396" s="174" t="str">
        <f ca="1">IF(B396="","",IF(ISERROR(MATCH($J396,SorP!$B$1:$B$6279,0)),"",INDIRECT("'SorP'!$A$"&amp;MATCH($S396&amp;$J396,SorP!C:C,0))))</f>
        <v/>
      </c>
      <c r="U396" s="194"/>
      <c r="V396" s="218" t="e">
        <f>IF(C396="",NA(),IF(OR(C396="Smelter not listed",C396="Smelter not yet identified"),MATCH($B396&amp;$D396,'Smelter Look-up'!$J:$J,0),MATCH($B396&amp;$C396,'Smelter Look-up'!$J:$J,0)))</f>
        <v>#N/A</v>
      </c>
      <c r="X396" s="219">
        <f t="shared" ca="1" si="58"/>
        <v>0</v>
      </c>
      <c r="AB396" s="220" t="str">
        <f t="shared" si="59"/>
        <v/>
      </c>
    </row>
    <row r="397" spans="1:28" s="219" customFormat="1" ht="20.25">
      <c r="A397" s="174"/>
      <c r="B397" s="175" t="str">
        <f>IF(LEN(A397)=0,"",INDEX('Smelter Look-up'!$A:$A,MATCH($A397,'Smelter Look-up'!$E:$E,0)))</f>
        <v/>
      </c>
      <c r="C397" s="179" t="str">
        <f>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57"/>
        <v/>
      </c>
      <c r="T397" s="174" t="str">
        <f ca="1">IF(B397="","",IF(ISERROR(MATCH($J397,SorP!$B$1:$B$6279,0)),"",INDIRECT("'SorP'!$A$"&amp;MATCH($S397&amp;$J397,SorP!C:C,0))))</f>
        <v/>
      </c>
      <c r="U397" s="194"/>
      <c r="V397" s="218" t="e">
        <f>IF(C397="",NA(),IF(OR(C397="Smelter not listed",C397="Smelter not yet identified"),MATCH($B397&amp;$D397,'Smelter Look-up'!$J:$J,0),MATCH($B397&amp;$C397,'Smelter Look-up'!$J:$J,0)))</f>
        <v>#N/A</v>
      </c>
      <c r="X397" s="219">
        <f t="shared" ca="1" si="58"/>
        <v>0</v>
      </c>
      <c r="AB397" s="220" t="str">
        <f t="shared" si="59"/>
        <v/>
      </c>
    </row>
    <row r="398" spans="1:28" s="219" customFormat="1" ht="20.25">
      <c r="A398" s="174"/>
      <c r="B398" s="175" t="str">
        <f>IF(LEN(A398)=0,"",INDEX('Smelter Look-up'!$A:$A,MATCH($A398,'Smelter Look-up'!$E:$E,0)))</f>
        <v/>
      </c>
      <c r="C398" s="179" t="str">
        <f>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57"/>
        <v/>
      </c>
      <c r="T398" s="174" t="str">
        <f ca="1">IF(B398="","",IF(ISERROR(MATCH($J398,SorP!$B$1:$B$6279,0)),"",INDIRECT("'SorP'!$A$"&amp;MATCH($S398&amp;$J398,SorP!C:C,0))))</f>
        <v/>
      </c>
      <c r="U398" s="194"/>
      <c r="V398" s="218" t="e">
        <f>IF(C398="",NA(),IF(OR(C398="Smelter not listed",C398="Smelter not yet identified"),MATCH($B398&amp;$D398,'Smelter Look-up'!$J:$J,0),MATCH($B398&amp;$C398,'Smelter Look-up'!$J:$J,0)))</f>
        <v>#N/A</v>
      </c>
      <c r="X398" s="219">
        <f t="shared" ca="1" si="58"/>
        <v>0</v>
      </c>
      <c r="AB398" s="220" t="str">
        <f t="shared" si="59"/>
        <v/>
      </c>
    </row>
    <row r="399" spans="1:28" s="219" customFormat="1" ht="20.25">
      <c r="A399" s="174"/>
      <c r="B399" s="175" t="str">
        <f>IF(LEN(A399)=0,"",INDEX('Smelter Look-up'!$A:$A,MATCH($A399,'Smelter Look-up'!$E:$E,0)))</f>
        <v/>
      </c>
      <c r="C399" s="179" t="str">
        <f>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57"/>
        <v/>
      </c>
      <c r="T399" s="174" t="str">
        <f ca="1">IF(B399="","",IF(ISERROR(MATCH($J399,SorP!$B$1:$B$6279,0)),"",INDIRECT("'SorP'!$A$"&amp;MATCH($S399&amp;$J399,SorP!C:C,0))))</f>
        <v/>
      </c>
      <c r="U399" s="194"/>
      <c r="V399" s="218" t="e">
        <f>IF(C399="",NA(),IF(OR(C399="Smelter not listed",C399="Smelter not yet identified"),MATCH($B399&amp;$D399,'Smelter Look-up'!$J:$J,0),MATCH($B399&amp;$C399,'Smelter Look-up'!$J:$J,0)))</f>
        <v>#N/A</v>
      </c>
      <c r="X399" s="219">
        <f t="shared" ca="1" si="58"/>
        <v>0</v>
      </c>
      <c r="AB399" s="220" t="str">
        <f t="shared" si="59"/>
        <v/>
      </c>
    </row>
    <row r="400" spans="1:28" s="219" customFormat="1" ht="20.25">
      <c r="A400" s="174"/>
      <c r="B400" s="175" t="str">
        <f>IF(LEN(A400)=0,"",INDEX('Smelter Look-up'!$A:$A,MATCH($A400,'Smelter Look-up'!$E:$E,0)))</f>
        <v/>
      </c>
      <c r="C400" s="179" t="str">
        <f>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57"/>
        <v/>
      </c>
      <c r="T400" s="174" t="str">
        <f ca="1">IF(B400="","",IF(ISERROR(MATCH($J400,SorP!$B$1:$B$6279,0)),"",INDIRECT("'SorP'!$A$"&amp;MATCH($S400&amp;$J400,SorP!C:C,0))))</f>
        <v/>
      </c>
      <c r="U400" s="194"/>
      <c r="V400" s="218" t="e">
        <f>IF(C400="",NA(),IF(OR(C400="Smelter not listed",C400="Smelter not yet identified"),MATCH($B400&amp;$D400,'Smelter Look-up'!$J:$J,0),MATCH($B400&amp;$C400,'Smelter Look-up'!$J:$J,0)))</f>
        <v>#N/A</v>
      </c>
      <c r="X400" s="219">
        <f t="shared" ca="1" si="58"/>
        <v>0</v>
      </c>
      <c r="AB400" s="220" t="str">
        <f t="shared" si="59"/>
        <v/>
      </c>
    </row>
    <row r="401" spans="1:28" s="219" customFormat="1" ht="20.25">
      <c r="A401" s="174"/>
      <c r="B401" s="175" t="str">
        <f>IF(LEN(A401)=0,"",INDEX('Smelter Look-up'!$A:$A,MATCH($A401,'Smelter Look-up'!$E:$E,0)))</f>
        <v/>
      </c>
      <c r="C401" s="179" t="str">
        <f>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57"/>
        <v/>
      </c>
      <c r="T401" s="174" t="str">
        <f ca="1">IF(B401="","",IF(ISERROR(MATCH($J401,SorP!$B$1:$B$6279,0)),"",INDIRECT("'SorP'!$A$"&amp;MATCH($S401&amp;$J401,SorP!C:C,0))))</f>
        <v/>
      </c>
      <c r="U401" s="194"/>
      <c r="V401" s="218" t="e">
        <f>IF(C401="",NA(),IF(OR(C401="Smelter not listed",C401="Smelter not yet identified"),MATCH($B401&amp;$D401,'Smelter Look-up'!$J:$J,0),MATCH($B401&amp;$C401,'Smelter Look-up'!$J:$J,0)))</f>
        <v>#N/A</v>
      </c>
      <c r="X401" s="219">
        <f t="shared" ca="1" si="58"/>
        <v>0</v>
      </c>
      <c r="AB401" s="220" t="str">
        <f t="shared" si="59"/>
        <v/>
      </c>
    </row>
    <row r="402" spans="1:28" s="219" customFormat="1" ht="20.25">
      <c r="A402" s="174"/>
      <c r="B402" s="175" t="str">
        <f>IF(LEN(A402)=0,"",INDEX('Smelter Look-up'!$A:$A,MATCH($A402,'Smelter Look-up'!$E:$E,0)))</f>
        <v/>
      </c>
      <c r="C402" s="179" t="str">
        <f>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57"/>
        <v/>
      </c>
      <c r="T402" s="174" t="str">
        <f ca="1">IF(B402="","",IF(ISERROR(MATCH($J402,SorP!$B$1:$B$6279,0)),"",INDIRECT("'SorP'!$A$"&amp;MATCH($S402&amp;$J402,SorP!C:C,0))))</f>
        <v/>
      </c>
      <c r="U402" s="194"/>
      <c r="V402" s="218" t="e">
        <f>IF(C402="",NA(),IF(OR(C402="Smelter not listed",C402="Smelter not yet identified"),MATCH($B402&amp;$D402,'Smelter Look-up'!$J:$J,0),MATCH($B402&amp;$C402,'Smelter Look-up'!$J:$J,0)))</f>
        <v>#N/A</v>
      </c>
      <c r="X402" s="219">
        <f t="shared" ca="1" si="58"/>
        <v>0</v>
      </c>
      <c r="AB402" s="220" t="str">
        <f t="shared" si="59"/>
        <v/>
      </c>
    </row>
    <row r="403" spans="1:28" s="219" customFormat="1" ht="20.25">
      <c r="A403" s="174"/>
      <c r="B403" s="175" t="str">
        <f>IF(LEN(A403)=0,"",INDEX('Smelter Look-up'!$A:$A,MATCH($A403,'Smelter Look-up'!$E:$E,0)))</f>
        <v/>
      </c>
      <c r="C403" s="179" t="str">
        <f>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57"/>
        <v/>
      </c>
      <c r="T403" s="174" t="str">
        <f ca="1">IF(B403="","",IF(ISERROR(MATCH($J403,SorP!$B$1:$B$6279,0)),"",INDIRECT("'SorP'!$A$"&amp;MATCH($S403&amp;$J403,SorP!C:C,0))))</f>
        <v/>
      </c>
      <c r="U403" s="194"/>
      <c r="V403" s="218" t="e">
        <f>IF(C403="",NA(),IF(OR(C403="Smelter not listed",C403="Smelter not yet identified"),MATCH($B403&amp;$D403,'Smelter Look-up'!$J:$J,0),MATCH($B403&amp;$C403,'Smelter Look-up'!$J:$J,0)))</f>
        <v>#N/A</v>
      </c>
      <c r="X403" s="219">
        <f t="shared" ca="1" si="58"/>
        <v>0</v>
      </c>
      <c r="AB403" s="220" t="str">
        <f t="shared" si="59"/>
        <v/>
      </c>
    </row>
    <row r="404" spans="1:28" s="219" customFormat="1" ht="20.25">
      <c r="A404" s="174"/>
      <c r="B404" s="175" t="str">
        <f>IF(LEN(A404)=0,"",INDEX('Smelter Look-up'!$A:$A,MATCH($A404,'Smelter Look-up'!$E:$E,0)))</f>
        <v/>
      </c>
      <c r="C404" s="179" t="str">
        <f>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57"/>
        <v/>
      </c>
      <c r="T404" s="174" t="str">
        <f ca="1">IF(B404="","",IF(ISERROR(MATCH($J404,SorP!$B$1:$B$6279,0)),"",INDIRECT("'SorP'!$A$"&amp;MATCH($S404&amp;$J404,SorP!C:C,0))))</f>
        <v/>
      </c>
      <c r="U404" s="194"/>
      <c r="V404" s="218" t="e">
        <f>IF(C404="",NA(),IF(OR(C404="Smelter not listed",C404="Smelter not yet identified"),MATCH($B404&amp;$D404,'Smelter Look-up'!$J:$J,0),MATCH($B404&amp;$C404,'Smelter Look-up'!$J:$J,0)))</f>
        <v>#N/A</v>
      </c>
      <c r="X404" s="219">
        <f t="shared" ca="1" si="58"/>
        <v>0</v>
      </c>
      <c r="AB404" s="220" t="str">
        <f t="shared" si="59"/>
        <v/>
      </c>
    </row>
    <row r="405" spans="1:28" s="219" customFormat="1" ht="20.25">
      <c r="A405" s="174"/>
      <c r="B405" s="175" t="str">
        <f>IF(LEN(A405)=0,"",INDEX('Smelter Look-up'!$A:$A,MATCH($A405,'Smelter Look-up'!$E:$E,0)))</f>
        <v/>
      </c>
      <c r="C405" s="179" t="str">
        <f>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57"/>
        <v/>
      </c>
      <c r="T405" s="174" t="str">
        <f ca="1">IF(B405="","",IF(ISERROR(MATCH($J405,SorP!$B$1:$B$6279,0)),"",INDIRECT("'SorP'!$A$"&amp;MATCH($S405&amp;$J405,SorP!C:C,0))))</f>
        <v/>
      </c>
      <c r="U405" s="194"/>
      <c r="V405" s="218" t="e">
        <f>IF(C405="",NA(),IF(OR(C405="Smelter not listed",C405="Smelter not yet identified"),MATCH($B405&amp;$D405,'Smelter Look-up'!$J:$J,0),MATCH($B405&amp;$C405,'Smelter Look-up'!$J:$J,0)))</f>
        <v>#N/A</v>
      </c>
      <c r="X405" s="219">
        <f t="shared" ca="1" si="58"/>
        <v>0</v>
      </c>
      <c r="AB405" s="220" t="str">
        <f t="shared" si="59"/>
        <v/>
      </c>
    </row>
    <row r="406" spans="1:28" s="219" customFormat="1" ht="20.25">
      <c r="A406" s="174"/>
      <c r="B406" s="175" t="str">
        <f>IF(LEN(A406)=0,"",INDEX('Smelter Look-up'!$A:$A,MATCH($A406,'Smelter Look-up'!$E:$E,0)))</f>
        <v/>
      </c>
      <c r="C406" s="179" t="str">
        <f>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57"/>
        <v/>
      </c>
      <c r="T406" s="174" t="str">
        <f ca="1">IF(B406="","",IF(ISERROR(MATCH($J406,SorP!$B$1:$B$6279,0)),"",INDIRECT("'SorP'!$A$"&amp;MATCH($S406&amp;$J406,SorP!C:C,0))))</f>
        <v/>
      </c>
      <c r="U406" s="194"/>
      <c r="V406" s="218" t="e">
        <f>IF(C406="",NA(),IF(OR(C406="Smelter not listed",C406="Smelter not yet identified"),MATCH($B406&amp;$D406,'Smelter Look-up'!$J:$J,0),MATCH($B406&amp;$C406,'Smelter Look-up'!$J:$J,0)))</f>
        <v>#N/A</v>
      </c>
      <c r="X406" s="219">
        <f t="shared" ca="1" si="58"/>
        <v>0</v>
      </c>
      <c r="AB406" s="220" t="str">
        <f t="shared" si="59"/>
        <v/>
      </c>
    </row>
    <row r="407" spans="1:28" s="219" customFormat="1" ht="20.25">
      <c r="A407" s="174"/>
      <c r="B407" s="175" t="str">
        <f>IF(LEN(A407)=0,"",INDEX('Smelter Look-up'!$A:$A,MATCH($A407,'Smelter Look-up'!$E:$E,0)))</f>
        <v/>
      </c>
      <c r="C407" s="179" t="str">
        <f>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57"/>
        <v/>
      </c>
      <c r="T407" s="174" t="str">
        <f ca="1">IF(B407="","",IF(ISERROR(MATCH($J407,SorP!$B$1:$B$6279,0)),"",INDIRECT("'SorP'!$A$"&amp;MATCH($S407&amp;$J407,SorP!C:C,0))))</f>
        <v/>
      </c>
      <c r="U407" s="194"/>
      <c r="V407" s="218" t="e">
        <f>IF(C407="",NA(),IF(OR(C407="Smelter not listed",C407="Smelter not yet identified"),MATCH($B407&amp;$D407,'Smelter Look-up'!$J:$J,0),MATCH($B407&amp;$C407,'Smelter Look-up'!$J:$J,0)))</f>
        <v>#N/A</v>
      </c>
      <c r="X407" s="219">
        <f t="shared" ca="1" si="58"/>
        <v>0</v>
      </c>
      <c r="AB407" s="220" t="str">
        <f t="shared" si="59"/>
        <v/>
      </c>
    </row>
    <row r="408" spans="1:28" s="219" customFormat="1" ht="20.25">
      <c r="A408" s="174"/>
      <c r="B408" s="175" t="str">
        <f>IF(LEN(A408)=0,"",INDEX('Smelter Look-up'!$A:$A,MATCH($A408,'Smelter Look-up'!$E:$E,0)))</f>
        <v/>
      </c>
      <c r="C408" s="179" t="str">
        <f>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57"/>
        <v/>
      </c>
      <c r="T408" s="174" t="str">
        <f ca="1">IF(B408="","",IF(ISERROR(MATCH($J408,SorP!$B$1:$B$6279,0)),"",INDIRECT("'SorP'!$A$"&amp;MATCH($S408&amp;$J408,SorP!C:C,0))))</f>
        <v/>
      </c>
      <c r="U408" s="194"/>
      <c r="V408" s="218" t="e">
        <f>IF(C408="",NA(),IF(OR(C408="Smelter not listed",C408="Smelter not yet identified"),MATCH($B408&amp;$D408,'Smelter Look-up'!$J:$J,0),MATCH($B408&amp;$C408,'Smelter Look-up'!$J:$J,0)))</f>
        <v>#N/A</v>
      </c>
      <c r="X408" s="219">
        <f t="shared" ca="1" si="58"/>
        <v>0</v>
      </c>
      <c r="AB408" s="220" t="str">
        <f t="shared" si="59"/>
        <v/>
      </c>
    </row>
    <row r="409" spans="1:28" s="219" customFormat="1" ht="20.25">
      <c r="A409" s="174"/>
      <c r="B409" s="175" t="str">
        <f>IF(LEN(A409)=0,"",INDEX('Smelter Look-up'!$A:$A,MATCH($A409,'Smelter Look-up'!$E:$E,0)))</f>
        <v/>
      </c>
      <c r="C409" s="179" t="str">
        <f>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57"/>
        <v/>
      </c>
      <c r="T409" s="174" t="str">
        <f ca="1">IF(B409="","",IF(ISERROR(MATCH($J409,SorP!$B$1:$B$6279,0)),"",INDIRECT("'SorP'!$A$"&amp;MATCH($S409&amp;$J409,SorP!C:C,0))))</f>
        <v/>
      </c>
      <c r="U409" s="194"/>
      <c r="V409" s="218" t="e">
        <f>IF(C409="",NA(),IF(OR(C409="Smelter not listed",C409="Smelter not yet identified"),MATCH($B409&amp;$D409,'Smelter Look-up'!$J:$J,0),MATCH($B409&amp;$C409,'Smelter Look-up'!$J:$J,0)))</f>
        <v>#N/A</v>
      </c>
      <c r="X409" s="219">
        <f t="shared" ca="1" si="58"/>
        <v>0</v>
      </c>
      <c r="AB409" s="220" t="str">
        <f t="shared" si="59"/>
        <v/>
      </c>
    </row>
    <row r="410" spans="1:28" s="219" customFormat="1" ht="20.25">
      <c r="A410" s="174"/>
      <c r="B410" s="175" t="str">
        <f>IF(LEN(A410)=0,"",INDEX('Smelter Look-up'!$A:$A,MATCH($A410,'Smelter Look-up'!$E:$E,0)))</f>
        <v/>
      </c>
      <c r="C410" s="179" t="str">
        <f>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57"/>
        <v/>
      </c>
      <c r="T410" s="174" t="str">
        <f ca="1">IF(B410="","",IF(ISERROR(MATCH($J410,SorP!$B$1:$B$6279,0)),"",INDIRECT("'SorP'!$A$"&amp;MATCH($S410&amp;$J410,SorP!C:C,0))))</f>
        <v/>
      </c>
      <c r="U410" s="194"/>
      <c r="V410" s="218" t="e">
        <f>IF(C410="",NA(),IF(OR(C410="Smelter not listed",C410="Smelter not yet identified"),MATCH($B410&amp;$D410,'Smelter Look-up'!$J:$J,0),MATCH($B410&amp;$C410,'Smelter Look-up'!$J:$J,0)))</f>
        <v>#N/A</v>
      </c>
      <c r="X410" s="219">
        <f t="shared" ca="1" si="58"/>
        <v>0</v>
      </c>
      <c r="AB410" s="220" t="str">
        <f t="shared" si="59"/>
        <v/>
      </c>
    </row>
    <row r="411" spans="1:28" s="219" customFormat="1" ht="20.25">
      <c r="A411" s="174"/>
      <c r="B411" s="175" t="str">
        <f>IF(LEN(A411)=0,"",INDEX('Smelter Look-up'!$A:$A,MATCH($A411,'Smelter Look-up'!$E:$E,0)))</f>
        <v/>
      </c>
      <c r="C411" s="179" t="str">
        <f>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57"/>
        <v/>
      </c>
      <c r="T411" s="174" t="str">
        <f ca="1">IF(B411="","",IF(ISERROR(MATCH($J411,SorP!$B$1:$B$6279,0)),"",INDIRECT("'SorP'!$A$"&amp;MATCH($S411&amp;$J411,SorP!C:C,0))))</f>
        <v/>
      </c>
      <c r="U411" s="194"/>
      <c r="V411" s="218" t="e">
        <f>IF(C411="",NA(),IF(OR(C411="Smelter not listed",C411="Smelter not yet identified"),MATCH($B411&amp;$D411,'Smelter Look-up'!$J:$J,0),MATCH($B411&amp;$C411,'Smelter Look-up'!$J:$J,0)))</f>
        <v>#N/A</v>
      </c>
      <c r="X411" s="219">
        <f t="shared" ca="1" si="58"/>
        <v>0</v>
      </c>
      <c r="AB411" s="220" t="str">
        <f t="shared" si="59"/>
        <v/>
      </c>
    </row>
    <row r="412" spans="1:28" s="219" customFormat="1" ht="20.25">
      <c r="A412" s="174"/>
      <c r="B412" s="175" t="str">
        <f>IF(LEN(A412)=0,"",INDEX('Smelter Look-up'!$A:$A,MATCH($A412,'Smelter Look-up'!$E:$E,0)))</f>
        <v/>
      </c>
      <c r="C412" s="179" t="str">
        <f>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57"/>
        <v/>
      </c>
      <c r="T412" s="174" t="str">
        <f ca="1">IF(B412="","",IF(ISERROR(MATCH($J412,SorP!$B$1:$B$6279,0)),"",INDIRECT("'SorP'!$A$"&amp;MATCH($S412&amp;$J412,SorP!C:C,0))))</f>
        <v/>
      </c>
      <c r="U412" s="194"/>
      <c r="V412" s="218" t="e">
        <f>IF(C412="",NA(),IF(OR(C412="Smelter not listed",C412="Smelter not yet identified"),MATCH($B412&amp;$D412,'Smelter Look-up'!$J:$J,0),MATCH($B412&amp;$C412,'Smelter Look-up'!$J:$J,0)))</f>
        <v>#N/A</v>
      </c>
      <c r="X412" s="219">
        <f t="shared" ca="1" si="58"/>
        <v>0</v>
      </c>
      <c r="AB412" s="220" t="str">
        <f t="shared" si="59"/>
        <v/>
      </c>
    </row>
    <row r="413" spans="1:28" s="219" customFormat="1" ht="20.25">
      <c r="A413" s="174"/>
      <c r="B413" s="175" t="str">
        <f>IF(LEN(A413)=0,"",INDEX('Smelter Look-up'!$A:$A,MATCH($A413,'Smelter Look-up'!$E:$E,0)))</f>
        <v/>
      </c>
      <c r="C413" s="179" t="str">
        <f>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57"/>
        <v/>
      </c>
      <c r="T413" s="174" t="str">
        <f ca="1">IF(B413="","",IF(ISERROR(MATCH($J413,SorP!$B$1:$B$6279,0)),"",INDIRECT("'SorP'!$A$"&amp;MATCH($S413&amp;$J413,SorP!C:C,0))))</f>
        <v/>
      </c>
      <c r="U413" s="194"/>
      <c r="V413" s="218" t="e">
        <f>IF(C413="",NA(),IF(OR(C413="Smelter not listed",C413="Smelter not yet identified"),MATCH($B413&amp;$D413,'Smelter Look-up'!$J:$J,0),MATCH($B413&amp;$C413,'Smelter Look-up'!$J:$J,0)))</f>
        <v>#N/A</v>
      </c>
      <c r="X413" s="219">
        <f t="shared" ca="1" si="58"/>
        <v>0</v>
      </c>
      <c r="AB413" s="220" t="str">
        <f t="shared" si="59"/>
        <v/>
      </c>
    </row>
    <row r="414" spans="1:28" s="219" customFormat="1" ht="20.25">
      <c r="A414" s="174"/>
      <c r="B414" s="175" t="str">
        <f>IF(LEN(A414)=0,"",INDEX('Smelter Look-up'!$A:$A,MATCH($A414,'Smelter Look-up'!$E:$E,0)))</f>
        <v/>
      </c>
      <c r="C414" s="179" t="str">
        <f>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57"/>
        <v/>
      </c>
      <c r="T414" s="174" t="str">
        <f ca="1">IF(B414="","",IF(ISERROR(MATCH($J414,SorP!$B$1:$B$6279,0)),"",INDIRECT("'SorP'!$A$"&amp;MATCH($S414&amp;$J414,SorP!C:C,0))))</f>
        <v/>
      </c>
      <c r="U414" s="194"/>
      <c r="V414" s="218" t="e">
        <f>IF(C414="",NA(),IF(OR(C414="Smelter not listed",C414="Smelter not yet identified"),MATCH($B414&amp;$D414,'Smelter Look-up'!$J:$J,0),MATCH($B414&amp;$C414,'Smelter Look-up'!$J:$J,0)))</f>
        <v>#N/A</v>
      </c>
      <c r="X414" s="219">
        <f t="shared" ca="1" si="58"/>
        <v>0</v>
      </c>
      <c r="AB414" s="220" t="str">
        <f t="shared" si="59"/>
        <v/>
      </c>
    </row>
    <row r="415" spans="1:28" s="219" customFormat="1" ht="20.25">
      <c r="A415" s="174"/>
      <c r="B415" s="175" t="str">
        <f>IF(LEN(A415)=0,"",INDEX('Smelter Look-up'!$A:$A,MATCH($A415,'Smelter Look-up'!$E:$E,0)))</f>
        <v/>
      </c>
      <c r="C415" s="179" t="str">
        <f>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57"/>
        <v/>
      </c>
      <c r="T415" s="174" t="str">
        <f ca="1">IF(B415="","",IF(ISERROR(MATCH($J415,SorP!$B$1:$B$6279,0)),"",INDIRECT("'SorP'!$A$"&amp;MATCH($S415&amp;$J415,SorP!C:C,0))))</f>
        <v/>
      </c>
      <c r="U415" s="194"/>
      <c r="V415" s="218" t="e">
        <f>IF(C415="",NA(),IF(OR(C415="Smelter not listed",C415="Smelter not yet identified"),MATCH($B415&amp;$D415,'Smelter Look-up'!$J:$J,0),MATCH($B415&amp;$C415,'Smelter Look-up'!$J:$J,0)))</f>
        <v>#N/A</v>
      </c>
      <c r="X415" s="219">
        <f t="shared" ca="1" si="58"/>
        <v>0</v>
      </c>
      <c r="AB415" s="220" t="str">
        <f t="shared" si="59"/>
        <v/>
      </c>
    </row>
    <row r="416" spans="1:28" s="219" customFormat="1" ht="20.25">
      <c r="A416" s="174"/>
      <c r="B416" s="175" t="str">
        <f>IF(LEN(A416)=0,"",INDEX('Smelter Look-up'!$A:$A,MATCH($A416,'Smelter Look-up'!$E:$E,0)))</f>
        <v/>
      </c>
      <c r="C416" s="179" t="str">
        <f>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57"/>
        <v/>
      </c>
      <c r="T416" s="174" t="str">
        <f ca="1">IF(B416="","",IF(ISERROR(MATCH($J416,SorP!$B$1:$B$6279,0)),"",INDIRECT("'SorP'!$A$"&amp;MATCH($S416&amp;$J416,SorP!C:C,0))))</f>
        <v/>
      </c>
      <c r="U416" s="194"/>
      <c r="V416" s="218" t="e">
        <f>IF(C416="",NA(),IF(OR(C416="Smelter not listed",C416="Smelter not yet identified"),MATCH($B416&amp;$D416,'Smelter Look-up'!$J:$J,0),MATCH($B416&amp;$C416,'Smelter Look-up'!$J:$J,0)))</f>
        <v>#N/A</v>
      </c>
      <c r="X416" s="219">
        <f t="shared" ca="1" si="58"/>
        <v>0</v>
      </c>
      <c r="AB416" s="220" t="str">
        <f t="shared" si="59"/>
        <v/>
      </c>
    </row>
    <row r="417" spans="1:28" s="219" customFormat="1" ht="20.25">
      <c r="A417" s="174"/>
      <c r="B417" s="175" t="str">
        <f>IF(LEN(A417)=0,"",INDEX('Smelter Look-up'!$A:$A,MATCH($A417,'Smelter Look-up'!$E:$E,0)))</f>
        <v/>
      </c>
      <c r="C417" s="179" t="str">
        <f>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57"/>
        <v/>
      </c>
      <c r="T417" s="174" t="str">
        <f ca="1">IF(B417="","",IF(ISERROR(MATCH($J417,SorP!$B$1:$B$6279,0)),"",INDIRECT("'SorP'!$A$"&amp;MATCH($S417&amp;$J417,SorP!C:C,0))))</f>
        <v/>
      </c>
      <c r="U417" s="194"/>
      <c r="V417" s="218" t="e">
        <f>IF(C417="",NA(),IF(OR(C417="Smelter not listed",C417="Smelter not yet identified"),MATCH($B417&amp;$D417,'Smelter Look-up'!$J:$J,0),MATCH($B417&amp;$C417,'Smelter Look-up'!$J:$J,0)))</f>
        <v>#N/A</v>
      </c>
      <c r="X417" s="219">
        <f t="shared" ca="1" si="58"/>
        <v>0</v>
      </c>
      <c r="AB417" s="220" t="str">
        <f t="shared" si="59"/>
        <v/>
      </c>
    </row>
    <row r="418" spans="1:28" s="219" customFormat="1" ht="20.25">
      <c r="A418" s="174"/>
      <c r="B418" s="175" t="str">
        <f>IF(LEN(A418)=0,"",INDEX('Smelter Look-up'!$A:$A,MATCH($A418,'Smelter Look-up'!$E:$E,0)))</f>
        <v/>
      </c>
      <c r="C418" s="179" t="str">
        <f>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57"/>
        <v/>
      </c>
      <c r="T418" s="174" t="str">
        <f ca="1">IF(B418="","",IF(ISERROR(MATCH($J418,SorP!$B$1:$B$6279,0)),"",INDIRECT("'SorP'!$A$"&amp;MATCH($S418&amp;$J418,SorP!C:C,0))))</f>
        <v/>
      </c>
      <c r="U418" s="194"/>
      <c r="V418" s="218" t="e">
        <f>IF(C418="",NA(),IF(OR(C418="Smelter not listed",C418="Smelter not yet identified"),MATCH($B418&amp;$D418,'Smelter Look-up'!$J:$J,0),MATCH($B418&amp;$C418,'Smelter Look-up'!$J:$J,0)))</f>
        <v>#N/A</v>
      </c>
      <c r="X418" s="219">
        <f t="shared" ca="1" si="58"/>
        <v>0</v>
      </c>
      <c r="AB418" s="220" t="str">
        <f t="shared" si="59"/>
        <v/>
      </c>
    </row>
    <row r="419" spans="1:28" s="219" customFormat="1" ht="20.25">
      <c r="A419" s="174"/>
      <c r="B419" s="175" t="str">
        <f>IF(LEN(A419)=0,"",INDEX('Smelter Look-up'!$A:$A,MATCH($A419,'Smelter Look-up'!$E:$E,0)))</f>
        <v/>
      </c>
      <c r="C419" s="179" t="str">
        <f>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57"/>
        <v/>
      </c>
      <c r="T419" s="174" t="str">
        <f ca="1">IF(B419="","",IF(ISERROR(MATCH($J419,SorP!$B$1:$B$6279,0)),"",INDIRECT("'SorP'!$A$"&amp;MATCH($S419&amp;$J419,SorP!C:C,0))))</f>
        <v/>
      </c>
      <c r="U419" s="194"/>
      <c r="V419" s="218" t="e">
        <f>IF(C419="",NA(),IF(OR(C419="Smelter not listed",C419="Smelter not yet identified"),MATCH($B419&amp;$D419,'Smelter Look-up'!$J:$J,0),MATCH($B419&amp;$C419,'Smelter Look-up'!$J:$J,0)))</f>
        <v>#N/A</v>
      </c>
      <c r="X419" s="219">
        <f t="shared" ca="1" si="58"/>
        <v>0</v>
      </c>
      <c r="AB419" s="220" t="str">
        <f t="shared" si="59"/>
        <v/>
      </c>
    </row>
    <row r="420" spans="1:28" s="219" customFormat="1" ht="20.25">
      <c r="A420" s="174"/>
      <c r="B420" s="175" t="str">
        <f>IF(LEN(A420)=0,"",INDEX('Smelter Look-up'!$A:$A,MATCH($A420,'Smelter Look-up'!$E:$E,0)))</f>
        <v/>
      </c>
      <c r="C420" s="179" t="str">
        <f>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57"/>
        <v/>
      </c>
      <c r="T420" s="174" t="str">
        <f ca="1">IF(B420="","",IF(ISERROR(MATCH($J420,SorP!$B$1:$B$6279,0)),"",INDIRECT("'SorP'!$A$"&amp;MATCH($S420&amp;$J420,SorP!C:C,0))))</f>
        <v/>
      </c>
      <c r="U420" s="194"/>
      <c r="V420" s="218" t="e">
        <f>IF(C420="",NA(),IF(OR(C420="Smelter not listed",C420="Smelter not yet identified"),MATCH($B420&amp;$D420,'Smelter Look-up'!$J:$J,0),MATCH($B420&amp;$C420,'Smelter Look-up'!$J:$J,0)))</f>
        <v>#N/A</v>
      </c>
      <c r="X420" s="219">
        <f t="shared" ca="1" si="58"/>
        <v>0</v>
      </c>
      <c r="AB420" s="220" t="str">
        <f t="shared" si="59"/>
        <v/>
      </c>
    </row>
    <row r="421" spans="1:28" s="219" customFormat="1" ht="20.25">
      <c r="A421" s="174"/>
      <c r="B421" s="175" t="str">
        <f>IF(LEN(A421)=0,"",INDEX('Smelter Look-up'!$A:$A,MATCH($A421,'Smelter Look-up'!$E:$E,0)))</f>
        <v/>
      </c>
      <c r="C421" s="179" t="str">
        <f>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57"/>
        <v/>
      </c>
      <c r="T421" s="174" t="str">
        <f ca="1">IF(B421="","",IF(ISERROR(MATCH($J421,SorP!$B$1:$B$6279,0)),"",INDIRECT("'SorP'!$A$"&amp;MATCH($S421&amp;$J421,SorP!C:C,0))))</f>
        <v/>
      </c>
      <c r="U421" s="194"/>
      <c r="V421" s="218" t="e">
        <f>IF(C421="",NA(),IF(OR(C421="Smelter not listed",C421="Smelter not yet identified"),MATCH($B421&amp;$D421,'Smelter Look-up'!$J:$J,0),MATCH($B421&amp;$C421,'Smelter Look-up'!$J:$J,0)))</f>
        <v>#N/A</v>
      </c>
      <c r="X421" s="219">
        <f t="shared" ca="1" si="58"/>
        <v>0</v>
      </c>
      <c r="AB421" s="220" t="str">
        <f t="shared" si="59"/>
        <v/>
      </c>
    </row>
    <row r="422" spans="1:28" s="219" customFormat="1" ht="20.25">
      <c r="A422" s="174"/>
      <c r="B422" s="175" t="str">
        <f>IF(LEN(A422)=0,"",INDEX('Smelter Look-up'!$A:$A,MATCH($A422,'Smelter Look-up'!$E:$E,0)))</f>
        <v/>
      </c>
      <c r="C422" s="179" t="str">
        <f>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ref="S422:S452" ca="1" si="60">IF(B422="","",IF(ISERROR(MATCH($E422,CL,0)),"Unknown",INDIRECT("'C'!$A$"&amp;MATCH($E422,CL,0)+1)))</f>
        <v/>
      </c>
      <c r="T422" s="174" t="str">
        <f ca="1">IF(B422="","",IF(ISERROR(MATCH($J422,SorP!$B$1:$B$6279,0)),"",INDIRECT("'SorP'!$A$"&amp;MATCH($S422&amp;$J422,SorP!C:C,0))))</f>
        <v/>
      </c>
      <c r="U422" s="194"/>
      <c r="V422" s="218" t="e">
        <f>IF(C422="",NA(),IF(OR(C422="Smelter not listed",C422="Smelter not yet identified"),MATCH($B422&amp;$D422,'Smelter Look-up'!$J:$J,0),MATCH($B422&amp;$C422,'Smelter Look-up'!$J:$J,0)))</f>
        <v>#N/A</v>
      </c>
      <c r="X422" s="219">
        <f t="shared" ref="X422:X452" ca="1" si="61">IF(AND(C422="Smelter not listed",OR(LEN(D422)=0,LEN(E422)=0)),1,0)</f>
        <v>0</v>
      </c>
      <c r="AB422" s="220" t="str">
        <f t="shared" ref="AB422:AB452" si="62">B422&amp;C422</f>
        <v/>
      </c>
    </row>
    <row r="423" spans="1:28" s="219" customFormat="1" ht="20.25">
      <c r="A423" s="174"/>
      <c r="B423" s="175" t="str">
        <f>IF(LEN(A423)=0,"",INDEX('Smelter Look-up'!$A:$A,MATCH($A423,'Smelter Look-up'!$E:$E,0)))</f>
        <v/>
      </c>
      <c r="C423" s="179" t="str">
        <f>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60"/>
        <v/>
      </c>
      <c r="T423" s="174" t="str">
        <f ca="1">IF(B423="","",IF(ISERROR(MATCH($J423,SorP!$B$1:$B$6279,0)),"",INDIRECT("'SorP'!$A$"&amp;MATCH($S423&amp;$J423,SorP!C:C,0))))</f>
        <v/>
      </c>
      <c r="U423" s="194"/>
      <c r="V423" s="218" t="e">
        <f>IF(C423="",NA(),IF(OR(C423="Smelter not listed",C423="Smelter not yet identified"),MATCH($B423&amp;$D423,'Smelter Look-up'!$J:$J,0),MATCH($B423&amp;$C423,'Smelter Look-up'!$J:$J,0)))</f>
        <v>#N/A</v>
      </c>
      <c r="X423" s="219">
        <f t="shared" ca="1" si="61"/>
        <v>0</v>
      </c>
      <c r="AB423" s="220" t="str">
        <f t="shared" si="62"/>
        <v/>
      </c>
    </row>
    <row r="424" spans="1:28" s="219" customFormat="1" ht="20.25">
      <c r="A424" s="174"/>
      <c r="B424" s="175" t="str">
        <f>IF(LEN(A424)=0,"",INDEX('Smelter Look-up'!$A:$A,MATCH($A424,'Smelter Look-up'!$E:$E,0)))</f>
        <v/>
      </c>
      <c r="C424" s="179" t="str">
        <f>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60"/>
        <v/>
      </c>
      <c r="T424" s="174" t="str">
        <f ca="1">IF(B424="","",IF(ISERROR(MATCH($J424,SorP!$B$1:$B$6279,0)),"",INDIRECT("'SorP'!$A$"&amp;MATCH($S424&amp;$J424,SorP!C:C,0))))</f>
        <v/>
      </c>
      <c r="U424" s="194"/>
      <c r="V424" s="218" t="e">
        <f>IF(C424="",NA(),IF(OR(C424="Smelter not listed",C424="Smelter not yet identified"),MATCH($B424&amp;$D424,'Smelter Look-up'!$J:$J,0),MATCH($B424&amp;$C424,'Smelter Look-up'!$J:$J,0)))</f>
        <v>#N/A</v>
      </c>
      <c r="X424" s="219">
        <f t="shared" ca="1" si="61"/>
        <v>0</v>
      </c>
      <c r="AB424" s="220" t="str">
        <f t="shared" si="62"/>
        <v/>
      </c>
    </row>
    <row r="425" spans="1:28" s="219" customFormat="1" ht="20.25">
      <c r="A425" s="174"/>
      <c r="B425" s="175" t="str">
        <f>IF(LEN(A425)=0,"",INDEX('Smelter Look-up'!$A:$A,MATCH($A425,'Smelter Look-up'!$E:$E,0)))</f>
        <v/>
      </c>
      <c r="C425" s="179" t="str">
        <f>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60"/>
        <v/>
      </c>
      <c r="T425" s="174" t="str">
        <f ca="1">IF(B425="","",IF(ISERROR(MATCH($J425,SorP!$B$1:$B$6279,0)),"",INDIRECT("'SorP'!$A$"&amp;MATCH($S425&amp;$J425,SorP!C:C,0))))</f>
        <v/>
      </c>
      <c r="U425" s="194"/>
      <c r="V425" s="218" t="e">
        <f>IF(C425="",NA(),IF(OR(C425="Smelter not listed",C425="Smelter not yet identified"),MATCH($B425&amp;$D425,'Smelter Look-up'!$J:$J,0),MATCH($B425&amp;$C425,'Smelter Look-up'!$J:$J,0)))</f>
        <v>#N/A</v>
      </c>
      <c r="X425" s="219">
        <f t="shared" ca="1" si="61"/>
        <v>0</v>
      </c>
      <c r="AB425" s="220" t="str">
        <f t="shared" si="62"/>
        <v/>
      </c>
    </row>
    <row r="426" spans="1:28" s="219" customFormat="1" ht="20.25">
      <c r="A426" s="174"/>
      <c r="B426" s="175" t="str">
        <f>IF(LEN(A426)=0,"",INDEX('Smelter Look-up'!$A:$A,MATCH($A426,'Smelter Look-up'!$E:$E,0)))</f>
        <v/>
      </c>
      <c r="C426" s="179" t="str">
        <f>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60"/>
        <v/>
      </c>
      <c r="T426" s="174" t="str">
        <f ca="1">IF(B426="","",IF(ISERROR(MATCH($J426,SorP!$B$1:$B$6279,0)),"",INDIRECT("'SorP'!$A$"&amp;MATCH($S426&amp;$J426,SorP!C:C,0))))</f>
        <v/>
      </c>
      <c r="U426" s="194"/>
      <c r="V426" s="218" t="e">
        <f>IF(C426="",NA(),IF(OR(C426="Smelter not listed",C426="Smelter not yet identified"),MATCH($B426&amp;$D426,'Smelter Look-up'!$J:$J,0),MATCH($B426&amp;$C426,'Smelter Look-up'!$J:$J,0)))</f>
        <v>#N/A</v>
      </c>
      <c r="X426" s="219">
        <f t="shared" ca="1" si="61"/>
        <v>0</v>
      </c>
      <c r="AB426" s="220" t="str">
        <f t="shared" si="62"/>
        <v/>
      </c>
    </row>
    <row r="427" spans="1:28" s="219" customFormat="1" ht="20.25">
      <c r="A427" s="174"/>
      <c r="B427" s="175" t="str">
        <f>IF(LEN(A427)=0,"",INDEX('Smelter Look-up'!$A:$A,MATCH($A427,'Smelter Look-up'!$E:$E,0)))</f>
        <v/>
      </c>
      <c r="C427" s="179" t="str">
        <f>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60"/>
        <v/>
      </c>
      <c r="T427" s="174" t="str">
        <f ca="1">IF(B427="","",IF(ISERROR(MATCH($J427,SorP!$B$1:$B$6279,0)),"",INDIRECT("'SorP'!$A$"&amp;MATCH($S427&amp;$J427,SorP!C:C,0))))</f>
        <v/>
      </c>
      <c r="U427" s="194"/>
      <c r="V427" s="218" t="e">
        <f>IF(C427="",NA(),IF(OR(C427="Smelter not listed",C427="Smelter not yet identified"),MATCH($B427&amp;$D427,'Smelter Look-up'!$J:$J,0),MATCH($B427&amp;$C427,'Smelter Look-up'!$J:$J,0)))</f>
        <v>#N/A</v>
      </c>
      <c r="X427" s="219">
        <f t="shared" ca="1" si="61"/>
        <v>0</v>
      </c>
      <c r="AB427" s="220" t="str">
        <f t="shared" si="62"/>
        <v/>
      </c>
    </row>
    <row r="428" spans="1:28" s="219" customFormat="1" ht="20.25">
      <c r="A428" s="174"/>
      <c r="B428" s="175" t="str">
        <f>IF(LEN(A428)=0,"",INDEX('Smelter Look-up'!$A:$A,MATCH($A428,'Smelter Look-up'!$E:$E,0)))</f>
        <v/>
      </c>
      <c r="C428" s="179" t="str">
        <f>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60"/>
        <v/>
      </c>
      <c r="T428" s="174" t="str">
        <f ca="1">IF(B428="","",IF(ISERROR(MATCH($J428,SorP!$B$1:$B$6279,0)),"",INDIRECT("'SorP'!$A$"&amp;MATCH($S428&amp;$J428,SorP!C:C,0))))</f>
        <v/>
      </c>
      <c r="U428" s="194"/>
      <c r="V428" s="218" t="e">
        <f>IF(C428="",NA(),IF(OR(C428="Smelter not listed",C428="Smelter not yet identified"),MATCH($B428&amp;$D428,'Smelter Look-up'!$J:$J,0),MATCH($B428&amp;$C428,'Smelter Look-up'!$J:$J,0)))</f>
        <v>#N/A</v>
      </c>
      <c r="X428" s="219">
        <f t="shared" ca="1" si="61"/>
        <v>0</v>
      </c>
      <c r="AB428" s="220" t="str">
        <f t="shared" si="62"/>
        <v/>
      </c>
    </row>
    <row r="429" spans="1:28" s="219" customFormat="1" ht="20.25">
      <c r="A429" s="174"/>
      <c r="B429" s="175" t="str">
        <f>IF(LEN(A429)=0,"",INDEX('Smelter Look-up'!$A:$A,MATCH($A429,'Smelter Look-up'!$E:$E,0)))</f>
        <v/>
      </c>
      <c r="C429" s="179" t="str">
        <f>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60"/>
        <v/>
      </c>
      <c r="T429" s="174" t="str">
        <f ca="1">IF(B429="","",IF(ISERROR(MATCH($J429,SorP!$B$1:$B$6279,0)),"",INDIRECT("'SorP'!$A$"&amp;MATCH($S429&amp;$J429,SorP!C:C,0))))</f>
        <v/>
      </c>
      <c r="U429" s="194"/>
      <c r="V429" s="218" t="e">
        <f>IF(C429="",NA(),IF(OR(C429="Smelter not listed",C429="Smelter not yet identified"),MATCH($B429&amp;$D429,'Smelter Look-up'!$J:$J,0),MATCH($B429&amp;$C429,'Smelter Look-up'!$J:$J,0)))</f>
        <v>#N/A</v>
      </c>
      <c r="X429" s="219">
        <f t="shared" ca="1" si="61"/>
        <v>0</v>
      </c>
      <c r="AB429" s="220" t="str">
        <f t="shared" si="62"/>
        <v/>
      </c>
    </row>
    <row r="430" spans="1:28" s="219" customFormat="1" ht="20.25">
      <c r="A430" s="174"/>
      <c r="B430" s="175" t="str">
        <f>IF(LEN(A430)=0,"",INDEX('Smelter Look-up'!$A:$A,MATCH($A430,'Smelter Look-up'!$E:$E,0)))</f>
        <v/>
      </c>
      <c r="C430" s="179" t="str">
        <f>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60"/>
        <v/>
      </c>
      <c r="T430" s="174" t="str">
        <f ca="1">IF(B430="","",IF(ISERROR(MATCH($J430,SorP!$B$1:$B$6279,0)),"",INDIRECT("'SorP'!$A$"&amp;MATCH($S430&amp;$J430,SorP!C:C,0))))</f>
        <v/>
      </c>
      <c r="U430" s="194"/>
      <c r="V430" s="218" t="e">
        <f>IF(C430="",NA(),IF(OR(C430="Smelter not listed",C430="Smelter not yet identified"),MATCH($B430&amp;$D430,'Smelter Look-up'!$J:$J,0),MATCH($B430&amp;$C430,'Smelter Look-up'!$J:$J,0)))</f>
        <v>#N/A</v>
      </c>
      <c r="X430" s="219">
        <f t="shared" ca="1" si="61"/>
        <v>0</v>
      </c>
      <c r="AB430" s="220" t="str">
        <f t="shared" si="62"/>
        <v/>
      </c>
    </row>
    <row r="431" spans="1:28" s="219" customFormat="1" ht="20.25">
      <c r="A431" s="174"/>
      <c r="B431" s="175" t="str">
        <f>IF(LEN(A431)=0,"",INDEX('Smelter Look-up'!$A:$A,MATCH($A431,'Smelter Look-up'!$E:$E,0)))</f>
        <v/>
      </c>
      <c r="C431" s="179" t="str">
        <f>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60"/>
        <v/>
      </c>
      <c r="T431" s="174" t="str">
        <f ca="1">IF(B431="","",IF(ISERROR(MATCH($J431,SorP!$B$1:$B$6279,0)),"",INDIRECT("'SorP'!$A$"&amp;MATCH($S431&amp;$J431,SorP!C:C,0))))</f>
        <v/>
      </c>
      <c r="U431" s="194"/>
      <c r="V431" s="218" t="e">
        <f>IF(C431="",NA(),IF(OR(C431="Smelter not listed",C431="Smelter not yet identified"),MATCH($B431&amp;$D431,'Smelter Look-up'!$J:$J,0),MATCH($B431&amp;$C431,'Smelter Look-up'!$J:$J,0)))</f>
        <v>#N/A</v>
      </c>
      <c r="X431" s="219">
        <f t="shared" ca="1" si="61"/>
        <v>0</v>
      </c>
      <c r="AB431" s="220" t="str">
        <f t="shared" si="62"/>
        <v/>
      </c>
    </row>
    <row r="432" spans="1:28" s="219" customFormat="1" ht="20.25">
      <c r="A432" s="174"/>
      <c r="B432" s="175" t="str">
        <f>IF(LEN(A432)=0,"",INDEX('Smelter Look-up'!$A:$A,MATCH($A432,'Smelter Look-up'!$E:$E,0)))</f>
        <v/>
      </c>
      <c r="C432" s="179" t="str">
        <f>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60"/>
        <v/>
      </c>
      <c r="T432" s="174" t="str">
        <f ca="1">IF(B432="","",IF(ISERROR(MATCH($J432,SorP!$B$1:$B$6279,0)),"",INDIRECT("'SorP'!$A$"&amp;MATCH($S432&amp;$J432,SorP!C:C,0))))</f>
        <v/>
      </c>
      <c r="U432" s="194"/>
      <c r="V432" s="218" t="e">
        <f>IF(C432="",NA(),IF(OR(C432="Smelter not listed",C432="Smelter not yet identified"),MATCH($B432&amp;$D432,'Smelter Look-up'!$J:$J,0),MATCH($B432&amp;$C432,'Smelter Look-up'!$J:$J,0)))</f>
        <v>#N/A</v>
      </c>
      <c r="X432" s="219">
        <f t="shared" ca="1" si="61"/>
        <v>0</v>
      </c>
      <c r="AB432" s="220" t="str">
        <f t="shared" si="62"/>
        <v/>
      </c>
    </row>
    <row r="433" spans="1:28" s="219" customFormat="1" ht="20.25">
      <c r="A433" s="174"/>
      <c r="B433" s="175" t="str">
        <f>IF(LEN(A433)=0,"",INDEX('Smelter Look-up'!$A:$A,MATCH($A433,'Smelter Look-up'!$E:$E,0)))</f>
        <v/>
      </c>
      <c r="C433" s="179" t="str">
        <f>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60"/>
        <v/>
      </c>
      <c r="T433" s="174" t="str">
        <f ca="1">IF(B433="","",IF(ISERROR(MATCH($J433,SorP!$B$1:$B$6279,0)),"",INDIRECT("'SorP'!$A$"&amp;MATCH($S433&amp;$J433,SorP!C:C,0))))</f>
        <v/>
      </c>
      <c r="U433" s="194"/>
      <c r="V433" s="218" t="e">
        <f>IF(C433="",NA(),IF(OR(C433="Smelter not listed",C433="Smelter not yet identified"),MATCH($B433&amp;$D433,'Smelter Look-up'!$J:$J,0),MATCH($B433&amp;$C433,'Smelter Look-up'!$J:$J,0)))</f>
        <v>#N/A</v>
      </c>
      <c r="X433" s="219">
        <f t="shared" ca="1" si="61"/>
        <v>0</v>
      </c>
      <c r="AB433" s="220" t="str">
        <f t="shared" si="62"/>
        <v/>
      </c>
    </row>
    <row r="434" spans="1:28" s="219" customFormat="1" ht="20.25">
      <c r="A434" s="174"/>
      <c r="B434" s="175" t="str">
        <f>IF(LEN(A434)=0,"",INDEX('Smelter Look-up'!$A:$A,MATCH($A434,'Smelter Look-up'!$E:$E,0)))</f>
        <v/>
      </c>
      <c r="C434" s="179" t="str">
        <f>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60"/>
        <v/>
      </c>
      <c r="T434" s="174" t="str">
        <f ca="1">IF(B434="","",IF(ISERROR(MATCH($J434,SorP!$B$1:$B$6279,0)),"",INDIRECT("'SorP'!$A$"&amp;MATCH($S434&amp;$J434,SorP!C:C,0))))</f>
        <v/>
      </c>
      <c r="U434" s="194"/>
      <c r="V434" s="218" t="e">
        <f>IF(C434="",NA(),IF(OR(C434="Smelter not listed",C434="Smelter not yet identified"),MATCH($B434&amp;$D434,'Smelter Look-up'!$J:$J,0),MATCH($B434&amp;$C434,'Smelter Look-up'!$J:$J,0)))</f>
        <v>#N/A</v>
      </c>
      <c r="X434" s="219">
        <f t="shared" ca="1" si="61"/>
        <v>0</v>
      </c>
      <c r="AB434" s="220" t="str">
        <f t="shared" si="62"/>
        <v/>
      </c>
    </row>
    <row r="435" spans="1:28" s="219" customFormat="1" ht="20.25">
      <c r="A435" s="174"/>
      <c r="B435" s="175" t="str">
        <f>IF(LEN(A435)=0,"",INDEX('Smelter Look-up'!$A:$A,MATCH($A435,'Smelter Look-up'!$E:$E,0)))</f>
        <v/>
      </c>
      <c r="C435" s="179" t="str">
        <f>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60"/>
        <v/>
      </c>
      <c r="T435" s="174" t="str">
        <f ca="1">IF(B435="","",IF(ISERROR(MATCH($J435,SorP!$B$1:$B$6279,0)),"",INDIRECT("'SorP'!$A$"&amp;MATCH($S435&amp;$J435,SorP!C:C,0))))</f>
        <v/>
      </c>
      <c r="U435" s="194"/>
      <c r="V435" s="218" t="e">
        <f>IF(C435="",NA(),IF(OR(C435="Smelter not listed",C435="Smelter not yet identified"),MATCH($B435&amp;$D435,'Smelter Look-up'!$J:$J,0),MATCH($B435&amp;$C435,'Smelter Look-up'!$J:$J,0)))</f>
        <v>#N/A</v>
      </c>
      <c r="X435" s="219">
        <f t="shared" ca="1" si="61"/>
        <v>0</v>
      </c>
      <c r="AB435" s="220" t="str">
        <f t="shared" si="62"/>
        <v/>
      </c>
    </row>
    <row r="436" spans="1:28" s="219" customFormat="1" ht="20.25">
      <c r="A436" s="174"/>
      <c r="B436" s="175" t="str">
        <f>IF(LEN(A436)=0,"",INDEX('Smelter Look-up'!$A:$A,MATCH($A436,'Smelter Look-up'!$E:$E,0)))</f>
        <v/>
      </c>
      <c r="C436" s="179" t="str">
        <f>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60"/>
        <v/>
      </c>
      <c r="T436" s="174" t="str">
        <f ca="1">IF(B436="","",IF(ISERROR(MATCH($J436,SorP!$B$1:$B$6279,0)),"",INDIRECT("'SorP'!$A$"&amp;MATCH($S436&amp;$J436,SorP!C:C,0))))</f>
        <v/>
      </c>
      <c r="U436" s="194"/>
      <c r="V436" s="218" t="e">
        <f>IF(C436="",NA(),IF(OR(C436="Smelter not listed",C436="Smelter not yet identified"),MATCH($B436&amp;$D436,'Smelter Look-up'!$J:$J,0),MATCH($B436&amp;$C436,'Smelter Look-up'!$J:$J,0)))</f>
        <v>#N/A</v>
      </c>
      <c r="X436" s="219">
        <f t="shared" ca="1" si="61"/>
        <v>0</v>
      </c>
      <c r="AB436" s="220" t="str">
        <f t="shared" si="62"/>
        <v/>
      </c>
    </row>
    <row r="437" spans="1:28" s="219" customFormat="1" ht="20.25">
      <c r="A437" s="174"/>
      <c r="B437" s="175" t="str">
        <f>IF(LEN(A437)=0,"",INDEX('Smelter Look-up'!$A:$A,MATCH($A437,'Smelter Look-up'!$E:$E,0)))</f>
        <v/>
      </c>
      <c r="C437" s="179" t="str">
        <f>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60"/>
        <v/>
      </c>
      <c r="T437" s="174" t="str">
        <f ca="1">IF(B437="","",IF(ISERROR(MATCH($J437,SorP!$B$1:$B$6279,0)),"",INDIRECT("'SorP'!$A$"&amp;MATCH($S437&amp;$J437,SorP!C:C,0))))</f>
        <v/>
      </c>
      <c r="U437" s="194"/>
      <c r="V437" s="218" t="e">
        <f>IF(C437="",NA(),IF(OR(C437="Smelter not listed",C437="Smelter not yet identified"),MATCH($B437&amp;$D437,'Smelter Look-up'!$J:$J,0),MATCH($B437&amp;$C437,'Smelter Look-up'!$J:$J,0)))</f>
        <v>#N/A</v>
      </c>
      <c r="X437" s="219">
        <f t="shared" ca="1" si="61"/>
        <v>0</v>
      </c>
      <c r="AB437" s="220" t="str">
        <f t="shared" si="62"/>
        <v/>
      </c>
    </row>
    <row r="438" spans="1:28" s="219" customFormat="1" ht="20.25">
      <c r="A438" s="174"/>
      <c r="B438" s="175" t="str">
        <f>IF(LEN(A438)=0,"",INDEX('Smelter Look-up'!$A:$A,MATCH($A438,'Smelter Look-up'!$E:$E,0)))</f>
        <v/>
      </c>
      <c r="C438" s="179" t="str">
        <f>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60"/>
        <v/>
      </c>
      <c r="T438" s="174" t="str">
        <f ca="1">IF(B438="","",IF(ISERROR(MATCH($J438,SorP!$B$1:$B$6279,0)),"",INDIRECT("'SorP'!$A$"&amp;MATCH($S438&amp;$J438,SorP!C:C,0))))</f>
        <v/>
      </c>
      <c r="U438" s="194"/>
      <c r="V438" s="218" t="e">
        <f>IF(C438="",NA(),IF(OR(C438="Smelter not listed",C438="Smelter not yet identified"),MATCH($B438&amp;$D438,'Smelter Look-up'!$J:$J,0),MATCH($B438&amp;$C438,'Smelter Look-up'!$J:$J,0)))</f>
        <v>#N/A</v>
      </c>
      <c r="X438" s="219">
        <f t="shared" ca="1" si="61"/>
        <v>0</v>
      </c>
      <c r="AB438" s="220" t="str">
        <f t="shared" si="62"/>
        <v/>
      </c>
    </row>
    <row r="439" spans="1:28" s="219" customFormat="1" ht="20.25">
      <c r="A439" s="174"/>
      <c r="B439" s="175" t="str">
        <f>IF(LEN(A439)=0,"",INDEX('Smelter Look-up'!$A:$A,MATCH($A439,'Smelter Look-up'!$E:$E,0)))</f>
        <v/>
      </c>
      <c r="C439" s="179" t="str">
        <f>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60"/>
        <v/>
      </c>
      <c r="T439" s="174" t="str">
        <f ca="1">IF(B439="","",IF(ISERROR(MATCH($J439,SorP!$B$1:$B$6279,0)),"",INDIRECT("'SorP'!$A$"&amp;MATCH($S439&amp;$J439,SorP!C:C,0))))</f>
        <v/>
      </c>
      <c r="U439" s="194"/>
      <c r="V439" s="218" t="e">
        <f>IF(C439="",NA(),IF(OR(C439="Smelter not listed",C439="Smelter not yet identified"),MATCH($B439&amp;$D439,'Smelter Look-up'!$J:$J,0),MATCH($B439&amp;$C439,'Smelter Look-up'!$J:$J,0)))</f>
        <v>#N/A</v>
      </c>
      <c r="X439" s="219">
        <f t="shared" ca="1" si="61"/>
        <v>0</v>
      </c>
      <c r="AB439" s="220" t="str">
        <f t="shared" si="62"/>
        <v/>
      </c>
    </row>
    <row r="440" spans="1:28" s="219" customFormat="1" ht="20.25">
      <c r="A440" s="174"/>
      <c r="B440" s="175" t="str">
        <f>IF(LEN(A440)=0,"",INDEX('Smelter Look-up'!$A:$A,MATCH($A440,'Smelter Look-up'!$E:$E,0)))</f>
        <v/>
      </c>
      <c r="C440" s="179" t="str">
        <f>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60"/>
        <v/>
      </c>
      <c r="T440" s="174" t="str">
        <f ca="1">IF(B440="","",IF(ISERROR(MATCH($J440,SorP!$B$1:$B$6279,0)),"",INDIRECT("'SorP'!$A$"&amp;MATCH($S440&amp;$J440,SorP!C:C,0))))</f>
        <v/>
      </c>
      <c r="U440" s="194"/>
      <c r="V440" s="218" t="e">
        <f>IF(C440="",NA(),IF(OR(C440="Smelter not listed",C440="Smelter not yet identified"),MATCH($B440&amp;$D440,'Smelter Look-up'!$J:$J,0),MATCH($B440&amp;$C440,'Smelter Look-up'!$J:$J,0)))</f>
        <v>#N/A</v>
      </c>
      <c r="X440" s="219">
        <f t="shared" ca="1" si="61"/>
        <v>0</v>
      </c>
      <c r="AB440" s="220" t="str">
        <f t="shared" si="62"/>
        <v/>
      </c>
    </row>
    <row r="441" spans="1:28" s="219" customFormat="1" ht="20.25">
      <c r="A441" s="174"/>
      <c r="B441" s="175" t="str">
        <f>IF(LEN(A441)=0,"",INDEX('Smelter Look-up'!$A:$A,MATCH($A441,'Smelter Look-up'!$E:$E,0)))</f>
        <v/>
      </c>
      <c r="C441" s="179" t="str">
        <f>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60"/>
        <v/>
      </c>
      <c r="T441" s="174" t="str">
        <f ca="1">IF(B441="","",IF(ISERROR(MATCH($J441,SorP!$B$1:$B$6279,0)),"",INDIRECT("'SorP'!$A$"&amp;MATCH($S441&amp;$J441,SorP!C:C,0))))</f>
        <v/>
      </c>
      <c r="U441" s="194"/>
      <c r="V441" s="218" t="e">
        <f>IF(C441="",NA(),IF(OR(C441="Smelter not listed",C441="Smelter not yet identified"),MATCH($B441&amp;$D441,'Smelter Look-up'!$J:$J,0),MATCH($B441&amp;$C441,'Smelter Look-up'!$J:$J,0)))</f>
        <v>#N/A</v>
      </c>
      <c r="X441" s="219">
        <f t="shared" ca="1" si="61"/>
        <v>0</v>
      </c>
      <c r="AB441" s="220" t="str">
        <f t="shared" si="62"/>
        <v/>
      </c>
    </row>
    <row r="442" spans="1:28" s="219" customFormat="1" ht="20.25">
      <c r="A442" s="174"/>
      <c r="B442" s="175" t="str">
        <f>IF(LEN(A442)=0,"",INDEX('Smelter Look-up'!$A:$A,MATCH($A442,'Smelter Look-up'!$E:$E,0)))</f>
        <v/>
      </c>
      <c r="C442" s="179" t="str">
        <f>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60"/>
        <v/>
      </c>
      <c r="T442" s="174" t="str">
        <f ca="1">IF(B442="","",IF(ISERROR(MATCH($J442,SorP!$B$1:$B$6279,0)),"",INDIRECT("'SorP'!$A$"&amp;MATCH($S442&amp;$J442,SorP!C:C,0))))</f>
        <v/>
      </c>
      <c r="U442" s="194"/>
      <c r="V442" s="218" t="e">
        <f>IF(C442="",NA(),IF(OR(C442="Smelter not listed",C442="Smelter not yet identified"),MATCH($B442&amp;$D442,'Smelter Look-up'!$J:$J,0),MATCH($B442&amp;$C442,'Smelter Look-up'!$J:$J,0)))</f>
        <v>#N/A</v>
      </c>
      <c r="X442" s="219">
        <f t="shared" ca="1" si="61"/>
        <v>0</v>
      </c>
      <c r="AB442" s="220" t="str">
        <f t="shared" si="62"/>
        <v/>
      </c>
    </row>
    <row r="443" spans="1:28" s="219" customFormat="1" ht="20.25">
      <c r="A443" s="174"/>
      <c r="B443" s="175" t="str">
        <f>IF(LEN(A443)=0,"",INDEX('Smelter Look-up'!$A:$A,MATCH($A443,'Smelter Look-up'!$E:$E,0)))</f>
        <v/>
      </c>
      <c r="C443" s="179" t="str">
        <f>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60"/>
        <v/>
      </c>
      <c r="T443" s="174" t="str">
        <f ca="1">IF(B443="","",IF(ISERROR(MATCH($J443,SorP!$B$1:$B$6279,0)),"",INDIRECT("'SorP'!$A$"&amp;MATCH($S443&amp;$J443,SorP!C:C,0))))</f>
        <v/>
      </c>
      <c r="U443" s="194"/>
      <c r="V443" s="218" t="e">
        <f>IF(C443="",NA(),IF(OR(C443="Smelter not listed",C443="Smelter not yet identified"),MATCH($B443&amp;$D443,'Smelter Look-up'!$J:$J,0),MATCH($B443&amp;$C443,'Smelter Look-up'!$J:$J,0)))</f>
        <v>#N/A</v>
      </c>
      <c r="X443" s="219">
        <f t="shared" ca="1" si="61"/>
        <v>0</v>
      </c>
      <c r="AB443" s="220" t="str">
        <f t="shared" si="62"/>
        <v/>
      </c>
    </row>
    <row r="444" spans="1:28" s="219" customFormat="1" ht="20.25">
      <c r="A444" s="174"/>
      <c r="B444" s="175" t="str">
        <f>IF(LEN(A444)=0,"",INDEX('Smelter Look-up'!$A:$A,MATCH($A444,'Smelter Look-up'!$E:$E,0)))</f>
        <v/>
      </c>
      <c r="C444" s="179" t="str">
        <f>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60"/>
        <v/>
      </c>
      <c r="T444" s="174" t="str">
        <f ca="1">IF(B444="","",IF(ISERROR(MATCH($J444,SorP!$B$1:$B$6279,0)),"",INDIRECT("'SorP'!$A$"&amp;MATCH($S444&amp;$J444,SorP!C:C,0))))</f>
        <v/>
      </c>
      <c r="U444" s="194"/>
      <c r="V444" s="218" t="e">
        <f>IF(C444="",NA(),IF(OR(C444="Smelter not listed",C444="Smelter not yet identified"),MATCH($B444&amp;$D444,'Smelter Look-up'!$J:$J,0),MATCH($B444&amp;$C444,'Smelter Look-up'!$J:$J,0)))</f>
        <v>#N/A</v>
      </c>
      <c r="X444" s="219">
        <f t="shared" ca="1" si="61"/>
        <v>0</v>
      </c>
      <c r="AB444" s="220" t="str">
        <f t="shared" si="62"/>
        <v/>
      </c>
    </row>
    <row r="445" spans="1:28" s="219" customFormat="1" ht="20.25">
      <c r="A445" s="174"/>
      <c r="B445" s="175" t="str">
        <f>IF(LEN(A445)=0,"",INDEX('Smelter Look-up'!$A:$A,MATCH($A445,'Smelter Look-up'!$E:$E,0)))</f>
        <v/>
      </c>
      <c r="C445" s="179" t="str">
        <f>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60"/>
        <v/>
      </c>
      <c r="T445" s="174" t="str">
        <f ca="1">IF(B445="","",IF(ISERROR(MATCH($J445,SorP!$B$1:$B$6279,0)),"",INDIRECT("'SorP'!$A$"&amp;MATCH($S445&amp;$J445,SorP!C:C,0))))</f>
        <v/>
      </c>
      <c r="U445" s="194"/>
      <c r="V445" s="218" t="e">
        <f>IF(C445="",NA(),IF(OR(C445="Smelter not listed",C445="Smelter not yet identified"),MATCH($B445&amp;$D445,'Smelter Look-up'!$J:$J,0),MATCH($B445&amp;$C445,'Smelter Look-up'!$J:$J,0)))</f>
        <v>#N/A</v>
      </c>
      <c r="X445" s="219">
        <f t="shared" ca="1" si="61"/>
        <v>0</v>
      </c>
      <c r="AB445" s="220" t="str">
        <f t="shared" si="62"/>
        <v/>
      </c>
    </row>
    <row r="446" spans="1:28" s="219" customFormat="1" ht="20.25">
      <c r="A446" s="174"/>
      <c r="B446" s="175" t="str">
        <f>IF(LEN(A446)=0,"",INDEX('Smelter Look-up'!$A:$A,MATCH($A446,'Smelter Look-up'!$E:$E,0)))</f>
        <v/>
      </c>
      <c r="C446" s="179" t="str">
        <f>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60"/>
        <v/>
      </c>
      <c r="T446" s="174" t="str">
        <f ca="1">IF(B446="","",IF(ISERROR(MATCH($J446,SorP!$B$1:$B$6279,0)),"",INDIRECT("'SorP'!$A$"&amp;MATCH($S446&amp;$J446,SorP!C:C,0))))</f>
        <v/>
      </c>
      <c r="U446" s="194"/>
      <c r="V446" s="218" t="e">
        <f>IF(C446="",NA(),IF(OR(C446="Smelter not listed",C446="Smelter not yet identified"),MATCH($B446&amp;$D446,'Smelter Look-up'!$J:$J,0),MATCH($B446&amp;$C446,'Smelter Look-up'!$J:$J,0)))</f>
        <v>#N/A</v>
      </c>
      <c r="X446" s="219">
        <f t="shared" ca="1" si="61"/>
        <v>0</v>
      </c>
      <c r="AB446" s="220" t="str">
        <f t="shared" si="62"/>
        <v/>
      </c>
    </row>
    <row r="447" spans="1:28" s="219" customFormat="1" ht="20.25">
      <c r="A447" s="174"/>
      <c r="B447" s="175" t="str">
        <f>IF(LEN(A447)=0,"",INDEX('Smelter Look-up'!$A:$A,MATCH($A447,'Smelter Look-up'!$E:$E,0)))</f>
        <v/>
      </c>
      <c r="C447" s="179" t="str">
        <f>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60"/>
        <v/>
      </c>
      <c r="T447" s="174" t="str">
        <f ca="1">IF(B447="","",IF(ISERROR(MATCH($J447,SorP!$B$1:$B$6279,0)),"",INDIRECT("'SorP'!$A$"&amp;MATCH($S447&amp;$J447,SorP!C:C,0))))</f>
        <v/>
      </c>
      <c r="U447" s="194"/>
      <c r="V447" s="218" t="e">
        <f>IF(C447="",NA(),IF(OR(C447="Smelter not listed",C447="Smelter not yet identified"),MATCH($B447&amp;$D447,'Smelter Look-up'!$J:$J,0),MATCH($B447&amp;$C447,'Smelter Look-up'!$J:$J,0)))</f>
        <v>#N/A</v>
      </c>
      <c r="X447" s="219">
        <f t="shared" ca="1" si="61"/>
        <v>0</v>
      </c>
      <c r="AB447" s="220" t="str">
        <f t="shared" si="62"/>
        <v/>
      </c>
    </row>
    <row r="448" spans="1:28" s="219" customFormat="1" ht="20.25">
      <c r="A448" s="174"/>
      <c r="B448" s="175" t="str">
        <f>IF(LEN(A448)=0,"",INDEX('Smelter Look-up'!$A:$A,MATCH($A448,'Smelter Look-up'!$E:$E,0)))</f>
        <v/>
      </c>
      <c r="C448" s="179" t="str">
        <f>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60"/>
        <v/>
      </c>
      <c r="T448" s="174" t="str">
        <f ca="1">IF(B448="","",IF(ISERROR(MATCH($J448,SorP!$B$1:$B$6279,0)),"",INDIRECT("'SorP'!$A$"&amp;MATCH($S448&amp;$J448,SorP!C:C,0))))</f>
        <v/>
      </c>
      <c r="U448" s="194"/>
      <c r="V448" s="218" t="e">
        <f>IF(C448="",NA(),IF(OR(C448="Smelter not listed",C448="Smelter not yet identified"),MATCH($B448&amp;$D448,'Smelter Look-up'!$J:$J,0),MATCH($B448&amp;$C448,'Smelter Look-up'!$J:$J,0)))</f>
        <v>#N/A</v>
      </c>
      <c r="X448" s="219">
        <f t="shared" ca="1" si="61"/>
        <v>0</v>
      </c>
      <c r="AB448" s="220" t="str">
        <f t="shared" si="62"/>
        <v/>
      </c>
    </row>
    <row r="449" spans="1:28" s="219" customFormat="1" ht="20.25">
      <c r="A449" s="174"/>
      <c r="B449" s="175" t="str">
        <f>IF(LEN(A449)=0,"",INDEX('Smelter Look-up'!$A:$A,MATCH($A449,'Smelter Look-up'!$E:$E,0)))</f>
        <v/>
      </c>
      <c r="C449" s="179" t="str">
        <f>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60"/>
        <v/>
      </c>
      <c r="T449" s="174" t="str">
        <f ca="1">IF(B449="","",IF(ISERROR(MATCH($J449,SorP!$B$1:$B$6279,0)),"",INDIRECT("'SorP'!$A$"&amp;MATCH($S449&amp;$J449,SorP!C:C,0))))</f>
        <v/>
      </c>
      <c r="U449" s="194"/>
      <c r="V449" s="218" t="e">
        <f>IF(C449="",NA(),IF(OR(C449="Smelter not listed",C449="Smelter not yet identified"),MATCH($B449&amp;$D449,'Smelter Look-up'!$J:$J,0),MATCH($B449&amp;$C449,'Smelter Look-up'!$J:$J,0)))</f>
        <v>#N/A</v>
      </c>
      <c r="X449" s="219">
        <f t="shared" ca="1" si="61"/>
        <v>0</v>
      </c>
      <c r="AB449" s="220" t="str">
        <f t="shared" si="62"/>
        <v/>
      </c>
    </row>
    <row r="450" spans="1:28" s="219" customFormat="1" ht="20.25">
      <c r="A450" s="174"/>
      <c r="B450" s="175" t="str">
        <f>IF(LEN(A450)=0,"",INDEX('Smelter Look-up'!$A:$A,MATCH($A450,'Smelter Look-up'!$E:$E,0)))</f>
        <v/>
      </c>
      <c r="C450" s="179" t="str">
        <f>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60"/>
        <v/>
      </c>
      <c r="T450" s="174" t="str">
        <f ca="1">IF(B450="","",IF(ISERROR(MATCH($J450,SorP!$B$1:$B$6279,0)),"",INDIRECT("'SorP'!$A$"&amp;MATCH($S450&amp;$J450,SorP!C:C,0))))</f>
        <v/>
      </c>
      <c r="U450" s="194"/>
      <c r="V450" s="218" t="e">
        <f>IF(C450="",NA(),IF(OR(C450="Smelter not listed",C450="Smelter not yet identified"),MATCH($B450&amp;$D450,'Smelter Look-up'!$J:$J,0),MATCH($B450&amp;$C450,'Smelter Look-up'!$J:$J,0)))</f>
        <v>#N/A</v>
      </c>
      <c r="X450" s="219">
        <f t="shared" ca="1" si="61"/>
        <v>0</v>
      </c>
      <c r="AB450" s="220" t="str">
        <f t="shared" si="62"/>
        <v/>
      </c>
    </row>
    <row r="451" spans="1:28" s="219" customFormat="1" ht="20.25">
      <c r="A451" s="174"/>
      <c r="B451" s="175" t="str">
        <f>IF(LEN(A451)=0,"",INDEX('Smelter Look-up'!$A:$A,MATCH($A451,'Smelter Look-up'!$E:$E,0)))</f>
        <v/>
      </c>
      <c r="C451" s="179" t="str">
        <f>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60"/>
        <v/>
      </c>
      <c r="T451" s="174" t="str">
        <f ca="1">IF(B451="","",IF(ISERROR(MATCH($J451,SorP!$B$1:$B$6279,0)),"",INDIRECT("'SorP'!$A$"&amp;MATCH($S451&amp;$J451,SorP!C:C,0))))</f>
        <v/>
      </c>
      <c r="U451" s="194"/>
      <c r="V451" s="218" t="e">
        <f>IF(C451="",NA(),IF(OR(C451="Smelter not listed",C451="Smelter not yet identified"),MATCH($B451&amp;$D451,'Smelter Look-up'!$J:$J,0),MATCH($B451&amp;$C451,'Smelter Look-up'!$J:$J,0)))</f>
        <v>#N/A</v>
      </c>
      <c r="X451" s="219">
        <f t="shared" ca="1" si="61"/>
        <v>0</v>
      </c>
      <c r="AB451" s="220" t="str">
        <f t="shared" si="62"/>
        <v/>
      </c>
    </row>
    <row r="452" spans="1:28" s="219" customFormat="1" ht="20.25">
      <c r="A452" s="174"/>
      <c r="B452" s="175" t="str">
        <f>IF(LEN(A452)=0,"",INDEX('Smelter Look-up'!$A:$A,MATCH($A452,'Smelter Look-up'!$E:$E,0)))</f>
        <v/>
      </c>
      <c r="C452" s="179" t="str">
        <f>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ca="1" si="60"/>
        <v/>
      </c>
      <c r="T452" s="174" t="str">
        <f ca="1">IF(B452="","",IF(ISERROR(MATCH($J452,SorP!$B$1:$B$6279,0)),"",INDIRECT("'SorP'!$A$"&amp;MATCH($S452&amp;$J452,SorP!C:C,0))))</f>
        <v/>
      </c>
      <c r="U452" s="194"/>
      <c r="V452" s="218" t="e">
        <f>IF(C452="",NA(),IF(OR(C452="Smelter not listed",C452="Smelter not yet identified"),MATCH($B452&amp;$D452,'Smelter Look-up'!$J:$J,0),MATCH($B452&amp;$C452,'Smelter Look-up'!$J:$J,0)))</f>
        <v>#N/A</v>
      </c>
      <c r="X452" s="219">
        <f t="shared" ca="1" si="61"/>
        <v>0</v>
      </c>
      <c r="AB452" s="220" t="str">
        <f t="shared" si="62"/>
        <v/>
      </c>
    </row>
    <row r="453" spans="1:28" s="219" customFormat="1" ht="20.25">
      <c r="A453" s="174"/>
      <c r="B453" s="175" t="str">
        <f>IF(LEN(A453)=0,"",INDEX('Smelter Look-up'!$A:$A,MATCH($A453,'Smelter Look-up'!$E:$E,0)))</f>
        <v/>
      </c>
      <c r="C453" s="179" t="str">
        <f>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ref="S453" ca="1" si="63">IF(B453="","",IF(ISERROR(MATCH($E453,CL,0)),"Unknown",INDIRECT("'C'!$A$"&amp;MATCH($E453,CL,0)+1)))</f>
        <v/>
      </c>
      <c r="T453" s="174" t="str">
        <f ca="1">IF(B453="","",IF(ISERROR(MATCH($J453,SorP!$B$1:$B$6279,0)),"",INDIRECT("'SorP'!$A$"&amp;MATCH($S453&amp;$J453,SorP!C:C,0))))</f>
        <v/>
      </c>
      <c r="U453" s="194"/>
      <c r="V453" s="218" t="e">
        <f>IF(C453="",NA(),IF(OR(C453="Smelter not listed",C453="Smelter not yet identified"),MATCH($B453&amp;$D453,'Smelter Look-up'!$J:$J,0),MATCH($B453&amp;$C453,'Smelter Look-up'!$J:$J,0)))</f>
        <v>#N/A</v>
      </c>
      <c r="X453" s="219">
        <f t="shared" ref="X453" ca="1" si="64">IF(AND(C453="Smelter not listed",OR(LEN(D453)=0,LEN(E453)=0)),1,0)</f>
        <v>0</v>
      </c>
      <c r="AB453" s="220" t="str">
        <f t="shared" ref="AB453" si="65">B453&amp;C453</f>
        <v/>
      </c>
    </row>
    <row r="454" spans="1:28" s="219" customFormat="1" ht="20.25">
      <c r="A454" s="174"/>
      <c r="B454" s="175" t="str">
        <f>IF(LEN(A454)=0,"",INDEX('Smelter Look-up'!$A:$A,MATCH($A454,'Smelter Look-up'!$E:$E,0)))</f>
        <v/>
      </c>
      <c r="C454" s="179" t="str">
        <f>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ref="S454:S485" ca="1" si="66">IF(B454="","",IF(ISERROR(MATCH($E454,CL,0)),"Unknown",INDIRECT("'C'!$A$"&amp;MATCH($E454,CL,0)+1)))</f>
        <v/>
      </c>
      <c r="T454" s="174" t="str">
        <f ca="1">IF(B454="","",IF(ISERROR(MATCH($J454,SorP!$B$1:$B$6279,0)),"",INDIRECT("'SorP'!$A$"&amp;MATCH($S454&amp;$J454,SorP!C:C,0))))</f>
        <v/>
      </c>
      <c r="U454" s="194"/>
      <c r="V454" s="218" t="e">
        <f>IF(C454="",NA(),IF(OR(C454="Smelter not listed",C454="Smelter not yet identified"),MATCH($B454&amp;$D454,'Smelter Look-up'!$J:$J,0),MATCH($B454&amp;$C454,'Smelter Look-up'!$J:$J,0)))</f>
        <v>#N/A</v>
      </c>
      <c r="X454" s="219">
        <f t="shared" ref="X454:X485" ca="1" si="67">IF(AND(C454="Smelter not listed",OR(LEN(D454)=0,LEN(E454)=0)),1,0)</f>
        <v>0</v>
      </c>
      <c r="AB454" s="220" t="str">
        <f t="shared" ref="AB454:AB485" si="68">B454&amp;C454</f>
        <v/>
      </c>
    </row>
    <row r="455" spans="1:28" s="219" customFormat="1" ht="20.25">
      <c r="A455" s="174"/>
      <c r="B455" s="175" t="str">
        <f>IF(LEN(A455)=0,"",INDEX('Smelter Look-up'!$A:$A,MATCH($A455,'Smelter Look-up'!$E:$E,0)))</f>
        <v/>
      </c>
      <c r="C455" s="179" t="str">
        <f>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66"/>
        <v/>
      </c>
      <c r="T455" s="174" t="str">
        <f ca="1">IF(B455="","",IF(ISERROR(MATCH($J455,SorP!$B$1:$B$6279,0)),"",INDIRECT("'SorP'!$A$"&amp;MATCH($S455&amp;$J455,SorP!C:C,0))))</f>
        <v/>
      </c>
      <c r="U455" s="194"/>
      <c r="V455" s="218" t="e">
        <f>IF(C455="",NA(),IF(OR(C455="Smelter not listed",C455="Smelter not yet identified"),MATCH($B455&amp;$D455,'Smelter Look-up'!$J:$J,0),MATCH($B455&amp;$C455,'Smelter Look-up'!$J:$J,0)))</f>
        <v>#N/A</v>
      </c>
      <c r="X455" s="219">
        <f t="shared" ca="1" si="67"/>
        <v>0</v>
      </c>
      <c r="AB455" s="220" t="str">
        <f t="shared" si="68"/>
        <v/>
      </c>
    </row>
    <row r="456" spans="1:28" s="219" customFormat="1" ht="20.25">
      <c r="A456" s="174"/>
      <c r="B456" s="175" t="str">
        <f>IF(LEN(A456)=0,"",INDEX('Smelter Look-up'!$A:$A,MATCH($A456,'Smelter Look-up'!$E:$E,0)))</f>
        <v/>
      </c>
      <c r="C456" s="179" t="str">
        <f>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66"/>
        <v/>
      </c>
      <c r="T456" s="174" t="str">
        <f ca="1">IF(B456="","",IF(ISERROR(MATCH($J456,SorP!$B$1:$B$6279,0)),"",INDIRECT("'SorP'!$A$"&amp;MATCH($S456&amp;$J456,SorP!C:C,0))))</f>
        <v/>
      </c>
      <c r="U456" s="194"/>
      <c r="V456" s="218" t="e">
        <f>IF(C456="",NA(),IF(OR(C456="Smelter not listed",C456="Smelter not yet identified"),MATCH($B456&amp;$D456,'Smelter Look-up'!$J:$J,0),MATCH($B456&amp;$C456,'Smelter Look-up'!$J:$J,0)))</f>
        <v>#N/A</v>
      </c>
      <c r="X456" s="219">
        <f t="shared" ca="1" si="67"/>
        <v>0</v>
      </c>
      <c r="AB456" s="220" t="str">
        <f t="shared" si="68"/>
        <v/>
      </c>
    </row>
    <row r="457" spans="1:28" s="219" customFormat="1" ht="20.25">
      <c r="A457" s="174"/>
      <c r="B457" s="175" t="str">
        <f>IF(LEN(A457)=0,"",INDEX('Smelter Look-up'!$A:$A,MATCH($A457,'Smelter Look-up'!$E:$E,0)))</f>
        <v/>
      </c>
      <c r="C457" s="179" t="str">
        <f>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66"/>
        <v/>
      </c>
      <c r="T457" s="174" t="str">
        <f ca="1">IF(B457="","",IF(ISERROR(MATCH($J457,SorP!$B$1:$B$6279,0)),"",INDIRECT("'SorP'!$A$"&amp;MATCH($S457&amp;$J457,SorP!C:C,0))))</f>
        <v/>
      </c>
      <c r="U457" s="194"/>
      <c r="V457" s="218" t="e">
        <f>IF(C457="",NA(),IF(OR(C457="Smelter not listed",C457="Smelter not yet identified"),MATCH($B457&amp;$D457,'Smelter Look-up'!$J:$J,0),MATCH($B457&amp;$C457,'Smelter Look-up'!$J:$J,0)))</f>
        <v>#N/A</v>
      </c>
      <c r="X457" s="219">
        <f t="shared" ca="1" si="67"/>
        <v>0</v>
      </c>
      <c r="AB457" s="220" t="str">
        <f t="shared" si="68"/>
        <v/>
      </c>
    </row>
    <row r="458" spans="1:28" s="219" customFormat="1" ht="20.25">
      <c r="A458" s="174"/>
      <c r="B458" s="175" t="str">
        <f>IF(LEN(A458)=0,"",INDEX('Smelter Look-up'!$A:$A,MATCH($A458,'Smelter Look-up'!$E:$E,0)))</f>
        <v/>
      </c>
      <c r="C458" s="179" t="str">
        <f>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66"/>
        <v/>
      </c>
      <c r="T458" s="174" t="str">
        <f ca="1">IF(B458="","",IF(ISERROR(MATCH($J458,SorP!$B$1:$B$6279,0)),"",INDIRECT("'SorP'!$A$"&amp;MATCH($S458&amp;$J458,SorP!C:C,0))))</f>
        <v/>
      </c>
      <c r="U458" s="194"/>
      <c r="V458" s="218" t="e">
        <f>IF(C458="",NA(),IF(OR(C458="Smelter not listed",C458="Smelter not yet identified"),MATCH($B458&amp;$D458,'Smelter Look-up'!$J:$J,0),MATCH($B458&amp;$C458,'Smelter Look-up'!$J:$J,0)))</f>
        <v>#N/A</v>
      </c>
      <c r="X458" s="219">
        <f t="shared" ca="1" si="67"/>
        <v>0</v>
      </c>
      <c r="AB458" s="220" t="str">
        <f t="shared" si="68"/>
        <v/>
      </c>
    </row>
    <row r="459" spans="1:28" s="219" customFormat="1" ht="20.25">
      <c r="A459" s="174"/>
      <c r="B459" s="175" t="str">
        <f>IF(LEN(A459)=0,"",INDEX('Smelter Look-up'!$A:$A,MATCH($A459,'Smelter Look-up'!$E:$E,0)))</f>
        <v/>
      </c>
      <c r="C459" s="179" t="str">
        <f>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66"/>
        <v/>
      </c>
      <c r="T459" s="174" t="str">
        <f ca="1">IF(B459="","",IF(ISERROR(MATCH($J459,SorP!$B$1:$B$6279,0)),"",INDIRECT("'SorP'!$A$"&amp;MATCH($S459&amp;$J459,SorP!C:C,0))))</f>
        <v/>
      </c>
      <c r="U459" s="194"/>
      <c r="V459" s="218" t="e">
        <f>IF(C459="",NA(),IF(OR(C459="Smelter not listed",C459="Smelter not yet identified"),MATCH($B459&amp;$D459,'Smelter Look-up'!$J:$J,0),MATCH($B459&amp;$C459,'Smelter Look-up'!$J:$J,0)))</f>
        <v>#N/A</v>
      </c>
      <c r="X459" s="219">
        <f t="shared" ca="1" si="67"/>
        <v>0</v>
      </c>
      <c r="AB459" s="220" t="str">
        <f t="shared" si="68"/>
        <v/>
      </c>
    </row>
    <row r="460" spans="1:28" s="219" customFormat="1" ht="20.25">
      <c r="A460" s="174"/>
      <c r="B460" s="175" t="str">
        <f>IF(LEN(A460)=0,"",INDEX('Smelter Look-up'!$A:$A,MATCH($A460,'Smelter Look-up'!$E:$E,0)))</f>
        <v/>
      </c>
      <c r="C460" s="179" t="str">
        <f>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66"/>
        <v/>
      </c>
      <c r="T460" s="174" t="str">
        <f ca="1">IF(B460="","",IF(ISERROR(MATCH($J460,SorP!$B$1:$B$6279,0)),"",INDIRECT("'SorP'!$A$"&amp;MATCH($S460&amp;$J460,SorP!C:C,0))))</f>
        <v/>
      </c>
      <c r="U460" s="194"/>
      <c r="V460" s="218" t="e">
        <f>IF(C460="",NA(),IF(OR(C460="Smelter not listed",C460="Smelter not yet identified"),MATCH($B460&amp;$D460,'Smelter Look-up'!$J:$J,0),MATCH($B460&amp;$C460,'Smelter Look-up'!$J:$J,0)))</f>
        <v>#N/A</v>
      </c>
      <c r="X460" s="219">
        <f t="shared" ca="1" si="67"/>
        <v>0</v>
      </c>
      <c r="AB460" s="220" t="str">
        <f t="shared" si="68"/>
        <v/>
      </c>
    </row>
    <row r="461" spans="1:28" s="219" customFormat="1" ht="20.25">
      <c r="A461" s="174"/>
      <c r="B461" s="175" t="str">
        <f>IF(LEN(A461)=0,"",INDEX('Smelter Look-up'!$A:$A,MATCH($A461,'Smelter Look-up'!$E:$E,0)))</f>
        <v/>
      </c>
      <c r="C461" s="179" t="str">
        <f>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66"/>
        <v/>
      </c>
      <c r="T461" s="174" t="str">
        <f ca="1">IF(B461="","",IF(ISERROR(MATCH($J461,SorP!$B$1:$B$6279,0)),"",INDIRECT("'SorP'!$A$"&amp;MATCH($S461&amp;$J461,SorP!C:C,0))))</f>
        <v/>
      </c>
      <c r="U461" s="194"/>
      <c r="V461" s="218" t="e">
        <f>IF(C461="",NA(),IF(OR(C461="Smelter not listed",C461="Smelter not yet identified"),MATCH($B461&amp;$D461,'Smelter Look-up'!$J:$J,0),MATCH($B461&amp;$C461,'Smelter Look-up'!$J:$J,0)))</f>
        <v>#N/A</v>
      </c>
      <c r="X461" s="219">
        <f t="shared" ca="1" si="67"/>
        <v>0</v>
      </c>
      <c r="AB461" s="220" t="str">
        <f t="shared" si="68"/>
        <v/>
      </c>
    </row>
    <row r="462" spans="1:28" s="219" customFormat="1" ht="20.25">
      <c r="A462" s="174"/>
      <c r="B462" s="175" t="str">
        <f>IF(LEN(A462)=0,"",INDEX('Smelter Look-up'!$A:$A,MATCH($A462,'Smelter Look-up'!$E:$E,0)))</f>
        <v/>
      </c>
      <c r="C462" s="179" t="str">
        <f>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66"/>
        <v/>
      </c>
      <c r="T462" s="174" t="str">
        <f ca="1">IF(B462="","",IF(ISERROR(MATCH($J462,SorP!$B$1:$B$6279,0)),"",INDIRECT("'SorP'!$A$"&amp;MATCH($S462&amp;$J462,SorP!C:C,0))))</f>
        <v/>
      </c>
      <c r="U462" s="194"/>
      <c r="V462" s="218" t="e">
        <f>IF(C462="",NA(),IF(OR(C462="Smelter not listed",C462="Smelter not yet identified"),MATCH($B462&amp;$D462,'Smelter Look-up'!$J:$J,0),MATCH($B462&amp;$C462,'Smelter Look-up'!$J:$J,0)))</f>
        <v>#N/A</v>
      </c>
      <c r="X462" s="219">
        <f t="shared" ca="1" si="67"/>
        <v>0</v>
      </c>
      <c r="AB462" s="220" t="str">
        <f t="shared" si="68"/>
        <v/>
      </c>
    </row>
    <row r="463" spans="1:28" s="219" customFormat="1" ht="20.25">
      <c r="A463" s="174"/>
      <c r="B463" s="175" t="str">
        <f>IF(LEN(A463)=0,"",INDEX('Smelter Look-up'!$A:$A,MATCH($A463,'Smelter Look-up'!$E:$E,0)))</f>
        <v/>
      </c>
      <c r="C463" s="179" t="str">
        <f>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66"/>
        <v/>
      </c>
      <c r="T463" s="174" t="str">
        <f ca="1">IF(B463="","",IF(ISERROR(MATCH($J463,SorP!$B$1:$B$6279,0)),"",INDIRECT("'SorP'!$A$"&amp;MATCH($S463&amp;$J463,SorP!C:C,0))))</f>
        <v/>
      </c>
      <c r="U463" s="194"/>
      <c r="V463" s="218" t="e">
        <f>IF(C463="",NA(),IF(OR(C463="Smelter not listed",C463="Smelter not yet identified"),MATCH($B463&amp;$D463,'Smelter Look-up'!$J:$J,0),MATCH($B463&amp;$C463,'Smelter Look-up'!$J:$J,0)))</f>
        <v>#N/A</v>
      </c>
      <c r="X463" s="219">
        <f t="shared" ca="1" si="67"/>
        <v>0</v>
      </c>
      <c r="AB463" s="220" t="str">
        <f t="shared" si="68"/>
        <v/>
      </c>
    </row>
    <row r="464" spans="1:28" s="219" customFormat="1" ht="20.25">
      <c r="A464" s="174"/>
      <c r="B464" s="175" t="str">
        <f>IF(LEN(A464)=0,"",INDEX('Smelter Look-up'!$A:$A,MATCH($A464,'Smelter Look-up'!$E:$E,0)))</f>
        <v/>
      </c>
      <c r="C464" s="179" t="str">
        <f>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66"/>
        <v/>
      </c>
      <c r="T464" s="174" t="str">
        <f ca="1">IF(B464="","",IF(ISERROR(MATCH($J464,SorP!$B$1:$B$6279,0)),"",INDIRECT("'SorP'!$A$"&amp;MATCH($S464&amp;$J464,SorP!C:C,0))))</f>
        <v/>
      </c>
      <c r="U464" s="194"/>
      <c r="V464" s="218" t="e">
        <f>IF(C464="",NA(),IF(OR(C464="Smelter not listed",C464="Smelter not yet identified"),MATCH($B464&amp;$D464,'Smelter Look-up'!$J:$J,0),MATCH($B464&amp;$C464,'Smelter Look-up'!$J:$J,0)))</f>
        <v>#N/A</v>
      </c>
      <c r="X464" s="219">
        <f t="shared" ca="1" si="67"/>
        <v>0</v>
      </c>
      <c r="AB464" s="220" t="str">
        <f t="shared" si="68"/>
        <v/>
      </c>
    </row>
    <row r="465" spans="1:28" s="219" customFormat="1" ht="20.25">
      <c r="A465" s="174"/>
      <c r="B465" s="175" t="str">
        <f>IF(LEN(A465)=0,"",INDEX('Smelter Look-up'!$A:$A,MATCH($A465,'Smelter Look-up'!$E:$E,0)))</f>
        <v/>
      </c>
      <c r="C465" s="179" t="str">
        <f>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66"/>
        <v/>
      </c>
      <c r="T465" s="174" t="str">
        <f ca="1">IF(B465="","",IF(ISERROR(MATCH($J465,SorP!$B$1:$B$6279,0)),"",INDIRECT("'SorP'!$A$"&amp;MATCH($S465&amp;$J465,SorP!C:C,0))))</f>
        <v/>
      </c>
      <c r="U465" s="194"/>
      <c r="V465" s="218" t="e">
        <f>IF(C465="",NA(),IF(OR(C465="Smelter not listed",C465="Smelter not yet identified"),MATCH($B465&amp;$D465,'Smelter Look-up'!$J:$J,0),MATCH($B465&amp;$C465,'Smelter Look-up'!$J:$J,0)))</f>
        <v>#N/A</v>
      </c>
      <c r="X465" s="219">
        <f t="shared" ca="1" si="67"/>
        <v>0</v>
      </c>
      <c r="AB465" s="220" t="str">
        <f t="shared" si="68"/>
        <v/>
      </c>
    </row>
    <row r="466" spans="1:28" s="219" customFormat="1" ht="20.25">
      <c r="A466" s="174"/>
      <c r="B466" s="175" t="str">
        <f>IF(LEN(A466)=0,"",INDEX('Smelter Look-up'!$A:$A,MATCH($A466,'Smelter Look-up'!$E:$E,0)))</f>
        <v/>
      </c>
      <c r="C466" s="179" t="str">
        <f>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66"/>
        <v/>
      </c>
      <c r="T466" s="174" t="str">
        <f ca="1">IF(B466="","",IF(ISERROR(MATCH($J466,SorP!$B$1:$B$6279,0)),"",INDIRECT("'SorP'!$A$"&amp;MATCH($S466&amp;$J466,SorP!C:C,0))))</f>
        <v/>
      </c>
      <c r="U466" s="194"/>
      <c r="V466" s="218" t="e">
        <f>IF(C466="",NA(),IF(OR(C466="Smelter not listed",C466="Smelter not yet identified"),MATCH($B466&amp;$D466,'Smelter Look-up'!$J:$J,0),MATCH($B466&amp;$C466,'Smelter Look-up'!$J:$J,0)))</f>
        <v>#N/A</v>
      </c>
      <c r="X466" s="219">
        <f t="shared" ca="1" si="67"/>
        <v>0</v>
      </c>
      <c r="AB466" s="220" t="str">
        <f t="shared" si="68"/>
        <v/>
      </c>
    </row>
    <row r="467" spans="1:28" s="219" customFormat="1" ht="20.25">
      <c r="A467" s="174"/>
      <c r="B467" s="175" t="str">
        <f>IF(LEN(A467)=0,"",INDEX('Smelter Look-up'!$A:$A,MATCH($A467,'Smelter Look-up'!$E:$E,0)))</f>
        <v/>
      </c>
      <c r="C467" s="179" t="str">
        <f>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66"/>
        <v/>
      </c>
      <c r="T467" s="174" t="str">
        <f ca="1">IF(B467="","",IF(ISERROR(MATCH($J467,SorP!$B$1:$B$6279,0)),"",INDIRECT("'SorP'!$A$"&amp;MATCH($S467&amp;$J467,SorP!C:C,0))))</f>
        <v/>
      </c>
      <c r="U467" s="194"/>
      <c r="V467" s="218" t="e">
        <f>IF(C467="",NA(),IF(OR(C467="Smelter not listed",C467="Smelter not yet identified"),MATCH($B467&amp;$D467,'Smelter Look-up'!$J:$J,0),MATCH($B467&amp;$C467,'Smelter Look-up'!$J:$J,0)))</f>
        <v>#N/A</v>
      </c>
      <c r="X467" s="219">
        <f t="shared" ca="1" si="67"/>
        <v>0</v>
      </c>
      <c r="AB467" s="220" t="str">
        <f t="shared" si="68"/>
        <v/>
      </c>
    </row>
    <row r="468" spans="1:28" s="219" customFormat="1" ht="20.25">
      <c r="A468" s="174"/>
      <c r="B468" s="175" t="str">
        <f>IF(LEN(A468)=0,"",INDEX('Smelter Look-up'!$A:$A,MATCH($A468,'Smelter Look-up'!$E:$E,0)))</f>
        <v/>
      </c>
      <c r="C468" s="179" t="str">
        <f>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66"/>
        <v/>
      </c>
      <c r="T468" s="174" t="str">
        <f ca="1">IF(B468="","",IF(ISERROR(MATCH($J468,SorP!$B$1:$B$6279,0)),"",INDIRECT("'SorP'!$A$"&amp;MATCH($S468&amp;$J468,SorP!C:C,0))))</f>
        <v/>
      </c>
      <c r="U468" s="194"/>
      <c r="V468" s="218" t="e">
        <f>IF(C468="",NA(),IF(OR(C468="Smelter not listed",C468="Smelter not yet identified"),MATCH($B468&amp;$D468,'Smelter Look-up'!$J:$J,0),MATCH($B468&amp;$C468,'Smelter Look-up'!$J:$J,0)))</f>
        <v>#N/A</v>
      </c>
      <c r="X468" s="219">
        <f t="shared" ca="1" si="67"/>
        <v>0</v>
      </c>
      <c r="AB468" s="220" t="str">
        <f t="shared" si="68"/>
        <v/>
      </c>
    </row>
    <row r="469" spans="1:28" s="219" customFormat="1" ht="20.25">
      <c r="A469" s="174"/>
      <c r="B469" s="175" t="str">
        <f>IF(LEN(A469)=0,"",INDEX('Smelter Look-up'!$A:$A,MATCH($A469,'Smelter Look-up'!$E:$E,0)))</f>
        <v/>
      </c>
      <c r="C469" s="179" t="str">
        <f>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66"/>
        <v/>
      </c>
      <c r="T469" s="174" t="str">
        <f ca="1">IF(B469="","",IF(ISERROR(MATCH($J469,SorP!$B$1:$B$6279,0)),"",INDIRECT("'SorP'!$A$"&amp;MATCH($S469&amp;$J469,SorP!C:C,0))))</f>
        <v/>
      </c>
      <c r="U469" s="194"/>
      <c r="V469" s="218" t="e">
        <f>IF(C469="",NA(),IF(OR(C469="Smelter not listed",C469="Smelter not yet identified"),MATCH($B469&amp;$D469,'Smelter Look-up'!$J:$J,0),MATCH($B469&amp;$C469,'Smelter Look-up'!$J:$J,0)))</f>
        <v>#N/A</v>
      </c>
      <c r="X469" s="219">
        <f t="shared" ca="1" si="67"/>
        <v>0</v>
      </c>
      <c r="AB469" s="220" t="str">
        <f t="shared" si="68"/>
        <v/>
      </c>
    </row>
    <row r="470" spans="1:28" s="219" customFormat="1" ht="20.25">
      <c r="A470" s="174"/>
      <c r="B470" s="175" t="str">
        <f>IF(LEN(A470)=0,"",INDEX('Smelter Look-up'!$A:$A,MATCH($A470,'Smelter Look-up'!$E:$E,0)))</f>
        <v/>
      </c>
      <c r="C470" s="179" t="str">
        <f>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66"/>
        <v/>
      </c>
      <c r="T470" s="174" t="str">
        <f ca="1">IF(B470="","",IF(ISERROR(MATCH($J470,SorP!$B$1:$B$6279,0)),"",INDIRECT("'SorP'!$A$"&amp;MATCH($S470&amp;$J470,SorP!C:C,0))))</f>
        <v/>
      </c>
      <c r="U470" s="194"/>
      <c r="V470" s="218" t="e">
        <f>IF(C470="",NA(),IF(OR(C470="Smelter not listed",C470="Smelter not yet identified"),MATCH($B470&amp;$D470,'Smelter Look-up'!$J:$J,0),MATCH($B470&amp;$C470,'Smelter Look-up'!$J:$J,0)))</f>
        <v>#N/A</v>
      </c>
      <c r="X470" s="219">
        <f t="shared" ca="1" si="67"/>
        <v>0</v>
      </c>
      <c r="AB470" s="220" t="str">
        <f t="shared" si="68"/>
        <v/>
      </c>
    </row>
    <row r="471" spans="1:28" s="219" customFormat="1" ht="20.25">
      <c r="A471" s="174"/>
      <c r="B471" s="175" t="str">
        <f>IF(LEN(A471)=0,"",INDEX('Smelter Look-up'!$A:$A,MATCH($A471,'Smelter Look-up'!$E:$E,0)))</f>
        <v/>
      </c>
      <c r="C471" s="179" t="str">
        <f>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66"/>
        <v/>
      </c>
      <c r="T471" s="174" t="str">
        <f ca="1">IF(B471="","",IF(ISERROR(MATCH($J471,SorP!$B$1:$B$6279,0)),"",INDIRECT("'SorP'!$A$"&amp;MATCH($S471&amp;$J471,SorP!C:C,0))))</f>
        <v/>
      </c>
      <c r="U471" s="194"/>
      <c r="V471" s="218" t="e">
        <f>IF(C471="",NA(),IF(OR(C471="Smelter not listed",C471="Smelter not yet identified"),MATCH($B471&amp;$D471,'Smelter Look-up'!$J:$J,0),MATCH($B471&amp;$C471,'Smelter Look-up'!$J:$J,0)))</f>
        <v>#N/A</v>
      </c>
      <c r="X471" s="219">
        <f t="shared" ca="1" si="67"/>
        <v>0</v>
      </c>
      <c r="AB471" s="220" t="str">
        <f t="shared" si="68"/>
        <v/>
      </c>
    </row>
    <row r="472" spans="1:28" s="219" customFormat="1" ht="20.25">
      <c r="A472" s="174"/>
      <c r="B472" s="175" t="str">
        <f>IF(LEN(A472)=0,"",INDEX('Smelter Look-up'!$A:$A,MATCH($A472,'Smelter Look-up'!$E:$E,0)))</f>
        <v/>
      </c>
      <c r="C472" s="179" t="str">
        <f>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66"/>
        <v/>
      </c>
      <c r="T472" s="174" t="str">
        <f ca="1">IF(B472="","",IF(ISERROR(MATCH($J472,SorP!$B$1:$B$6279,0)),"",INDIRECT("'SorP'!$A$"&amp;MATCH($S472&amp;$J472,SorP!C:C,0))))</f>
        <v/>
      </c>
      <c r="U472" s="194"/>
      <c r="V472" s="218" t="e">
        <f>IF(C472="",NA(),IF(OR(C472="Smelter not listed",C472="Smelter not yet identified"),MATCH($B472&amp;$D472,'Smelter Look-up'!$J:$J,0),MATCH($B472&amp;$C472,'Smelter Look-up'!$J:$J,0)))</f>
        <v>#N/A</v>
      </c>
      <c r="X472" s="219">
        <f t="shared" ca="1" si="67"/>
        <v>0</v>
      </c>
      <c r="AB472" s="220" t="str">
        <f t="shared" si="68"/>
        <v/>
      </c>
    </row>
    <row r="473" spans="1:28" s="219" customFormat="1" ht="20.25">
      <c r="A473" s="174"/>
      <c r="B473" s="175" t="str">
        <f>IF(LEN(A473)=0,"",INDEX('Smelter Look-up'!$A:$A,MATCH($A473,'Smelter Look-up'!$E:$E,0)))</f>
        <v/>
      </c>
      <c r="C473" s="179" t="str">
        <f>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66"/>
        <v/>
      </c>
      <c r="T473" s="174" t="str">
        <f ca="1">IF(B473="","",IF(ISERROR(MATCH($J473,SorP!$B$1:$B$6279,0)),"",INDIRECT("'SorP'!$A$"&amp;MATCH($S473&amp;$J473,SorP!C:C,0))))</f>
        <v/>
      </c>
      <c r="U473" s="194"/>
      <c r="V473" s="218" t="e">
        <f>IF(C473="",NA(),IF(OR(C473="Smelter not listed",C473="Smelter not yet identified"),MATCH($B473&amp;$D473,'Smelter Look-up'!$J:$J,0),MATCH($B473&amp;$C473,'Smelter Look-up'!$J:$J,0)))</f>
        <v>#N/A</v>
      </c>
      <c r="X473" s="219">
        <f t="shared" ca="1" si="67"/>
        <v>0</v>
      </c>
      <c r="AB473" s="220" t="str">
        <f t="shared" si="68"/>
        <v/>
      </c>
    </row>
    <row r="474" spans="1:28" s="219" customFormat="1" ht="20.25">
      <c r="A474" s="174"/>
      <c r="B474" s="175" t="str">
        <f>IF(LEN(A474)=0,"",INDEX('Smelter Look-up'!$A:$A,MATCH($A474,'Smelter Look-up'!$E:$E,0)))</f>
        <v/>
      </c>
      <c r="C474" s="179" t="str">
        <f>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66"/>
        <v/>
      </c>
      <c r="T474" s="174" t="str">
        <f ca="1">IF(B474="","",IF(ISERROR(MATCH($J474,SorP!$B$1:$B$6279,0)),"",INDIRECT("'SorP'!$A$"&amp;MATCH($S474&amp;$J474,SorP!C:C,0))))</f>
        <v/>
      </c>
      <c r="U474" s="194"/>
      <c r="V474" s="218" t="e">
        <f>IF(C474="",NA(),IF(OR(C474="Smelter not listed",C474="Smelter not yet identified"),MATCH($B474&amp;$D474,'Smelter Look-up'!$J:$J,0),MATCH($B474&amp;$C474,'Smelter Look-up'!$J:$J,0)))</f>
        <v>#N/A</v>
      </c>
      <c r="X474" s="219">
        <f t="shared" ca="1" si="67"/>
        <v>0</v>
      </c>
      <c r="AB474" s="220" t="str">
        <f t="shared" si="68"/>
        <v/>
      </c>
    </row>
    <row r="475" spans="1:28" s="219" customFormat="1" ht="20.25">
      <c r="A475" s="174"/>
      <c r="B475" s="175" t="str">
        <f>IF(LEN(A475)=0,"",INDEX('Smelter Look-up'!$A:$A,MATCH($A475,'Smelter Look-up'!$E:$E,0)))</f>
        <v/>
      </c>
      <c r="C475" s="179" t="str">
        <f>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66"/>
        <v/>
      </c>
      <c r="T475" s="174" t="str">
        <f ca="1">IF(B475="","",IF(ISERROR(MATCH($J475,SorP!$B$1:$B$6279,0)),"",INDIRECT("'SorP'!$A$"&amp;MATCH($S475&amp;$J475,SorP!C:C,0))))</f>
        <v/>
      </c>
      <c r="U475" s="194"/>
      <c r="V475" s="218" t="e">
        <f>IF(C475="",NA(),IF(OR(C475="Smelter not listed",C475="Smelter not yet identified"),MATCH($B475&amp;$D475,'Smelter Look-up'!$J:$J,0),MATCH($B475&amp;$C475,'Smelter Look-up'!$J:$J,0)))</f>
        <v>#N/A</v>
      </c>
      <c r="X475" s="219">
        <f t="shared" ca="1" si="67"/>
        <v>0</v>
      </c>
      <c r="AB475" s="220" t="str">
        <f t="shared" si="68"/>
        <v/>
      </c>
    </row>
    <row r="476" spans="1:28" s="219" customFormat="1" ht="20.25">
      <c r="A476" s="174"/>
      <c r="B476" s="175" t="str">
        <f>IF(LEN(A476)=0,"",INDEX('Smelter Look-up'!$A:$A,MATCH($A476,'Smelter Look-up'!$E:$E,0)))</f>
        <v/>
      </c>
      <c r="C476" s="179" t="str">
        <f>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66"/>
        <v/>
      </c>
      <c r="T476" s="174" t="str">
        <f ca="1">IF(B476="","",IF(ISERROR(MATCH($J476,SorP!$B$1:$B$6279,0)),"",INDIRECT("'SorP'!$A$"&amp;MATCH($S476&amp;$J476,SorP!C:C,0))))</f>
        <v/>
      </c>
      <c r="U476" s="194"/>
      <c r="V476" s="218" t="e">
        <f>IF(C476="",NA(),IF(OR(C476="Smelter not listed",C476="Smelter not yet identified"),MATCH($B476&amp;$D476,'Smelter Look-up'!$J:$J,0),MATCH($B476&amp;$C476,'Smelter Look-up'!$J:$J,0)))</f>
        <v>#N/A</v>
      </c>
      <c r="X476" s="219">
        <f t="shared" ca="1" si="67"/>
        <v>0</v>
      </c>
      <c r="AB476" s="220" t="str">
        <f t="shared" si="68"/>
        <v/>
      </c>
    </row>
    <row r="477" spans="1:28" s="219" customFormat="1" ht="20.25">
      <c r="A477" s="174"/>
      <c r="B477" s="175" t="str">
        <f>IF(LEN(A477)=0,"",INDEX('Smelter Look-up'!$A:$A,MATCH($A477,'Smelter Look-up'!$E:$E,0)))</f>
        <v/>
      </c>
      <c r="C477" s="179" t="str">
        <f>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66"/>
        <v/>
      </c>
      <c r="T477" s="174" t="str">
        <f ca="1">IF(B477="","",IF(ISERROR(MATCH($J477,SorP!$B$1:$B$6279,0)),"",INDIRECT("'SorP'!$A$"&amp;MATCH($S477&amp;$J477,SorP!C:C,0))))</f>
        <v/>
      </c>
      <c r="U477" s="194"/>
      <c r="V477" s="218" t="e">
        <f>IF(C477="",NA(),IF(OR(C477="Smelter not listed",C477="Smelter not yet identified"),MATCH($B477&amp;$D477,'Smelter Look-up'!$J:$J,0),MATCH($B477&amp;$C477,'Smelter Look-up'!$J:$J,0)))</f>
        <v>#N/A</v>
      </c>
      <c r="X477" s="219">
        <f t="shared" ca="1" si="67"/>
        <v>0</v>
      </c>
      <c r="AB477" s="220" t="str">
        <f t="shared" si="68"/>
        <v/>
      </c>
    </row>
    <row r="478" spans="1:28" s="219" customFormat="1" ht="20.25">
      <c r="A478" s="174"/>
      <c r="B478" s="175" t="str">
        <f>IF(LEN(A478)=0,"",INDEX('Smelter Look-up'!$A:$A,MATCH($A478,'Smelter Look-up'!$E:$E,0)))</f>
        <v/>
      </c>
      <c r="C478" s="179" t="str">
        <f>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66"/>
        <v/>
      </c>
      <c r="T478" s="174" t="str">
        <f ca="1">IF(B478="","",IF(ISERROR(MATCH($J478,SorP!$B$1:$B$6279,0)),"",INDIRECT("'SorP'!$A$"&amp;MATCH($S478&amp;$J478,SorP!C:C,0))))</f>
        <v/>
      </c>
      <c r="U478" s="194"/>
      <c r="V478" s="218" t="e">
        <f>IF(C478="",NA(),IF(OR(C478="Smelter not listed",C478="Smelter not yet identified"),MATCH($B478&amp;$D478,'Smelter Look-up'!$J:$J,0),MATCH($B478&amp;$C478,'Smelter Look-up'!$J:$J,0)))</f>
        <v>#N/A</v>
      </c>
      <c r="X478" s="219">
        <f t="shared" ca="1" si="67"/>
        <v>0</v>
      </c>
      <c r="AB478" s="220" t="str">
        <f t="shared" si="68"/>
        <v/>
      </c>
    </row>
    <row r="479" spans="1:28" s="219" customFormat="1" ht="20.25">
      <c r="A479" s="174"/>
      <c r="B479" s="175" t="str">
        <f>IF(LEN(A479)=0,"",INDEX('Smelter Look-up'!$A:$A,MATCH($A479,'Smelter Look-up'!$E:$E,0)))</f>
        <v/>
      </c>
      <c r="C479" s="179" t="str">
        <f>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66"/>
        <v/>
      </c>
      <c r="T479" s="174" t="str">
        <f ca="1">IF(B479="","",IF(ISERROR(MATCH($J479,SorP!$B$1:$B$6279,0)),"",INDIRECT("'SorP'!$A$"&amp;MATCH($S479&amp;$J479,SorP!C:C,0))))</f>
        <v/>
      </c>
      <c r="U479" s="194"/>
      <c r="V479" s="218" t="e">
        <f>IF(C479="",NA(),IF(OR(C479="Smelter not listed",C479="Smelter not yet identified"),MATCH($B479&amp;$D479,'Smelter Look-up'!$J:$J,0),MATCH($B479&amp;$C479,'Smelter Look-up'!$J:$J,0)))</f>
        <v>#N/A</v>
      </c>
      <c r="X479" s="219">
        <f t="shared" ca="1" si="67"/>
        <v>0</v>
      </c>
      <c r="AB479" s="220" t="str">
        <f t="shared" si="68"/>
        <v/>
      </c>
    </row>
    <row r="480" spans="1:28" s="219" customFormat="1" ht="20.25">
      <c r="A480" s="174"/>
      <c r="B480" s="175" t="str">
        <f>IF(LEN(A480)=0,"",INDEX('Smelter Look-up'!$A:$A,MATCH($A480,'Smelter Look-up'!$E:$E,0)))</f>
        <v/>
      </c>
      <c r="C480" s="179" t="str">
        <f>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66"/>
        <v/>
      </c>
      <c r="T480" s="174" t="str">
        <f ca="1">IF(B480="","",IF(ISERROR(MATCH($J480,SorP!$B$1:$B$6279,0)),"",INDIRECT("'SorP'!$A$"&amp;MATCH($S480&amp;$J480,SorP!C:C,0))))</f>
        <v/>
      </c>
      <c r="U480" s="194"/>
      <c r="V480" s="218" t="e">
        <f>IF(C480="",NA(),IF(OR(C480="Smelter not listed",C480="Smelter not yet identified"),MATCH($B480&amp;$D480,'Smelter Look-up'!$J:$J,0),MATCH($B480&amp;$C480,'Smelter Look-up'!$J:$J,0)))</f>
        <v>#N/A</v>
      </c>
      <c r="X480" s="219">
        <f t="shared" ca="1" si="67"/>
        <v>0</v>
      </c>
      <c r="AB480" s="220" t="str">
        <f t="shared" si="68"/>
        <v/>
      </c>
    </row>
    <row r="481" spans="1:28" s="219" customFormat="1" ht="20.25">
      <c r="A481" s="174"/>
      <c r="B481" s="175" t="str">
        <f>IF(LEN(A481)=0,"",INDEX('Smelter Look-up'!$A:$A,MATCH($A481,'Smelter Look-up'!$E:$E,0)))</f>
        <v/>
      </c>
      <c r="C481" s="179" t="str">
        <f>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66"/>
        <v/>
      </c>
      <c r="T481" s="174" t="str">
        <f ca="1">IF(B481="","",IF(ISERROR(MATCH($J481,SorP!$B$1:$B$6279,0)),"",INDIRECT("'SorP'!$A$"&amp;MATCH($S481&amp;$J481,SorP!C:C,0))))</f>
        <v/>
      </c>
      <c r="U481" s="194"/>
      <c r="V481" s="218" t="e">
        <f>IF(C481="",NA(),IF(OR(C481="Smelter not listed",C481="Smelter not yet identified"),MATCH($B481&amp;$D481,'Smelter Look-up'!$J:$J,0),MATCH($B481&amp;$C481,'Smelter Look-up'!$J:$J,0)))</f>
        <v>#N/A</v>
      </c>
      <c r="X481" s="219">
        <f t="shared" ca="1" si="67"/>
        <v>0</v>
      </c>
      <c r="AB481" s="220" t="str">
        <f t="shared" si="68"/>
        <v/>
      </c>
    </row>
    <row r="482" spans="1:28" s="219" customFormat="1" ht="20.25">
      <c r="A482" s="174"/>
      <c r="B482" s="175" t="str">
        <f>IF(LEN(A482)=0,"",INDEX('Smelter Look-up'!$A:$A,MATCH($A482,'Smelter Look-up'!$E:$E,0)))</f>
        <v/>
      </c>
      <c r="C482" s="179" t="str">
        <f>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66"/>
        <v/>
      </c>
      <c r="T482" s="174" t="str">
        <f ca="1">IF(B482="","",IF(ISERROR(MATCH($J482,SorP!$B$1:$B$6279,0)),"",INDIRECT("'SorP'!$A$"&amp;MATCH($S482&amp;$J482,SorP!C:C,0))))</f>
        <v/>
      </c>
      <c r="U482" s="194"/>
      <c r="V482" s="218" t="e">
        <f>IF(C482="",NA(),IF(OR(C482="Smelter not listed",C482="Smelter not yet identified"),MATCH($B482&amp;$D482,'Smelter Look-up'!$J:$J,0),MATCH($B482&amp;$C482,'Smelter Look-up'!$J:$J,0)))</f>
        <v>#N/A</v>
      </c>
      <c r="X482" s="219">
        <f t="shared" ca="1" si="67"/>
        <v>0</v>
      </c>
      <c r="AB482" s="220" t="str">
        <f t="shared" si="68"/>
        <v/>
      </c>
    </row>
    <row r="483" spans="1:28" s="219" customFormat="1" ht="20.25">
      <c r="A483" s="174"/>
      <c r="B483" s="175" t="str">
        <f>IF(LEN(A483)=0,"",INDEX('Smelter Look-up'!$A:$A,MATCH($A483,'Smelter Look-up'!$E:$E,0)))</f>
        <v/>
      </c>
      <c r="C483" s="179" t="str">
        <f>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66"/>
        <v/>
      </c>
      <c r="T483" s="174" t="str">
        <f ca="1">IF(B483="","",IF(ISERROR(MATCH($J483,SorP!$B$1:$B$6279,0)),"",INDIRECT("'SorP'!$A$"&amp;MATCH($S483&amp;$J483,SorP!C:C,0))))</f>
        <v/>
      </c>
      <c r="U483" s="194"/>
      <c r="V483" s="218" t="e">
        <f>IF(C483="",NA(),IF(OR(C483="Smelter not listed",C483="Smelter not yet identified"),MATCH($B483&amp;$D483,'Smelter Look-up'!$J:$J,0),MATCH($B483&amp;$C483,'Smelter Look-up'!$J:$J,0)))</f>
        <v>#N/A</v>
      </c>
      <c r="X483" s="219">
        <f t="shared" ca="1" si="67"/>
        <v>0</v>
      </c>
      <c r="AB483" s="220" t="str">
        <f t="shared" si="68"/>
        <v/>
      </c>
    </row>
    <row r="484" spans="1:28" s="219" customFormat="1" ht="20.25">
      <c r="A484" s="174"/>
      <c r="B484" s="175" t="str">
        <f>IF(LEN(A484)=0,"",INDEX('Smelter Look-up'!$A:$A,MATCH($A484,'Smelter Look-up'!$E:$E,0)))</f>
        <v/>
      </c>
      <c r="C484" s="179" t="str">
        <f>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66"/>
        <v/>
      </c>
      <c r="T484" s="174" t="str">
        <f ca="1">IF(B484="","",IF(ISERROR(MATCH($J484,SorP!$B$1:$B$6279,0)),"",INDIRECT("'SorP'!$A$"&amp;MATCH($S484&amp;$J484,SorP!C:C,0))))</f>
        <v/>
      </c>
      <c r="U484" s="194"/>
      <c r="V484" s="218" t="e">
        <f>IF(C484="",NA(),IF(OR(C484="Smelter not listed",C484="Smelter not yet identified"),MATCH($B484&amp;$D484,'Smelter Look-up'!$J:$J,0),MATCH($B484&amp;$C484,'Smelter Look-up'!$J:$J,0)))</f>
        <v>#N/A</v>
      </c>
      <c r="X484" s="219">
        <f t="shared" ca="1" si="67"/>
        <v>0</v>
      </c>
      <c r="AB484" s="220" t="str">
        <f t="shared" si="68"/>
        <v/>
      </c>
    </row>
    <row r="485" spans="1:28" s="219" customFormat="1" ht="20.25">
      <c r="A485" s="174"/>
      <c r="B485" s="175" t="str">
        <f>IF(LEN(A485)=0,"",INDEX('Smelter Look-up'!$A:$A,MATCH($A485,'Smelter Look-up'!$E:$E,0)))</f>
        <v/>
      </c>
      <c r="C485" s="179" t="str">
        <f>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66"/>
        <v/>
      </c>
      <c r="T485" s="174" t="str">
        <f ca="1">IF(B485="","",IF(ISERROR(MATCH($J485,SorP!$B$1:$B$6279,0)),"",INDIRECT("'SorP'!$A$"&amp;MATCH($S485&amp;$J485,SorP!C:C,0))))</f>
        <v/>
      </c>
      <c r="U485" s="194"/>
      <c r="V485" s="218" t="e">
        <f>IF(C485="",NA(),IF(OR(C485="Smelter not listed",C485="Smelter not yet identified"),MATCH($B485&amp;$D485,'Smelter Look-up'!$J:$J,0),MATCH($B485&amp;$C485,'Smelter Look-up'!$J:$J,0)))</f>
        <v>#N/A</v>
      </c>
      <c r="X485" s="219">
        <f t="shared" ca="1" si="67"/>
        <v>0</v>
      </c>
      <c r="AB485" s="220" t="str">
        <f t="shared" si="68"/>
        <v/>
      </c>
    </row>
    <row r="486" spans="1:28" s="219" customFormat="1" ht="20.25">
      <c r="A486" s="174"/>
      <c r="B486" s="175" t="str">
        <f>IF(LEN(A486)=0,"",INDEX('Smelter Look-up'!$A:$A,MATCH($A486,'Smelter Look-up'!$E:$E,0)))</f>
        <v/>
      </c>
      <c r="C486" s="179" t="str">
        <f>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ref="S486:S516" ca="1" si="69">IF(B486="","",IF(ISERROR(MATCH($E486,CL,0)),"Unknown",INDIRECT("'C'!$A$"&amp;MATCH($E486,CL,0)+1)))</f>
        <v/>
      </c>
      <c r="T486" s="174" t="str">
        <f ca="1">IF(B486="","",IF(ISERROR(MATCH($J486,SorP!$B$1:$B$6279,0)),"",INDIRECT("'SorP'!$A$"&amp;MATCH($S486&amp;$J486,SorP!C:C,0))))</f>
        <v/>
      </c>
      <c r="U486" s="194"/>
      <c r="V486" s="218" t="e">
        <f>IF(C486="",NA(),IF(OR(C486="Smelter not listed",C486="Smelter not yet identified"),MATCH($B486&amp;$D486,'Smelter Look-up'!$J:$J,0),MATCH($B486&amp;$C486,'Smelter Look-up'!$J:$J,0)))</f>
        <v>#N/A</v>
      </c>
      <c r="X486" s="219">
        <f t="shared" ref="X486:X516" ca="1" si="70">IF(AND(C486="Smelter not listed",OR(LEN(D486)=0,LEN(E486)=0)),1,0)</f>
        <v>0</v>
      </c>
      <c r="AB486" s="220" t="str">
        <f t="shared" ref="AB486:AB516" si="71">B486&amp;C486</f>
        <v/>
      </c>
    </row>
    <row r="487" spans="1:28" s="219" customFormat="1" ht="20.25">
      <c r="A487" s="174"/>
      <c r="B487" s="175" t="str">
        <f>IF(LEN(A487)=0,"",INDEX('Smelter Look-up'!$A:$A,MATCH($A487,'Smelter Look-up'!$E:$E,0)))</f>
        <v/>
      </c>
      <c r="C487" s="179" t="str">
        <f>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69"/>
        <v/>
      </c>
      <c r="T487" s="174" t="str">
        <f ca="1">IF(B487="","",IF(ISERROR(MATCH($J487,SorP!$B$1:$B$6279,0)),"",INDIRECT("'SorP'!$A$"&amp;MATCH($S487&amp;$J487,SorP!C:C,0))))</f>
        <v/>
      </c>
      <c r="U487" s="194"/>
      <c r="V487" s="218" t="e">
        <f>IF(C487="",NA(),IF(OR(C487="Smelter not listed",C487="Smelter not yet identified"),MATCH($B487&amp;$D487,'Smelter Look-up'!$J:$J,0),MATCH($B487&amp;$C487,'Smelter Look-up'!$J:$J,0)))</f>
        <v>#N/A</v>
      </c>
      <c r="X487" s="219">
        <f t="shared" ca="1" si="70"/>
        <v>0</v>
      </c>
      <c r="AB487" s="220" t="str">
        <f t="shared" si="71"/>
        <v/>
      </c>
    </row>
    <row r="488" spans="1:28" s="219" customFormat="1" ht="20.25">
      <c r="A488" s="174"/>
      <c r="B488" s="175" t="str">
        <f>IF(LEN(A488)=0,"",INDEX('Smelter Look-up'!$A:$A,MATCH($A488,'Smelter Look-up'!$E:$E,0)))</f>
        <v/>
      </c>
      <c r="C488" s="179" t="str">
        <f>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69"/>
        <v/>
      </c>
      <c r="T488" s="174" t="str">
        <f ca="1">IF(B488="","",IF(ISERROR(MATCH($J488,SorP!$B$1:$B$6279,0)),"",INDIRECT("'SorP'!$A$"&amp;MATCH($S488&amp;$J488,SorP!C:C,0))))</f>
        <v/>
      </c>
      <c r="U488" s="194"/>
      <c r="V488" s="218" t="e">
        <f>IF(C488="",NA(),IF(OR(C488="Smelter not listed",C488="Smelter not yet identified"),MATCH($B488&amp;$D488,'Smelter Look-up'!$J:$J,0),MATCH($B488&amp;$C488,'Smelter Look-up'!$J:$J,0)))</f>
        <v>#N/A</v>
      </c>
      <c r="X488" s="219">
        <f t="shared" ca="1" si="70"/>
        <v>0</v>
      </c>
      <c r="AB488" s="220" t="str">
        <f t="shared" si="71"/>
        <v/>
      </c>
    </row>
    <row r="489" spans="1:28" s="219" customFormat="1" ht="20.25">
      <c r="A489" s="174"/>
      <c r="B489" s="175" t="str">
        <f>IF(LEN(A489)=0,"",INDEX('Smelter Look-up'!$A:$A,MATCH($A489,'Smelter Look-up'!$E:$E,0)))</f>
        <v/>
      </c>
      <c r="C489" s="179" t="str">
        <f>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69"/>
        <v/>
      </c>
      <c r="T489" s="174" t="str">
        <f ca="1">IF(B489="","",IF(ISERROR(MATCH($J489,SorP!$B$1:$B$6279,0)),"",INDIRECT("'SorP'!$A$"&amp;MATCH($S489&amp;$J489,SorP!C:C,0))))</f>
        <v/>
      </c>
      <c r="U489" s="194"/>
      <c r="V489" s="218" t="e">
        <f>IF(C489="",NA(),IF(OR(C489="Smelter not listed",C489="Smelter not yet identified"),MATCH($B489&amp;$D489,'Smelter Look-up'!$J:$J,0),MATCH($B489&amp;$C489,'Smelter Look-up'!$J:$J,0)))</f>
        <v>#N/A</v>
      </c>
      <c r="X489" s="219">
        <f t="shared" ca="1" si="70"/>
        <v>0</v>
      </c>
      <c r="AB489" s="220" t="str">
        <f t="shared" si="71"/>
        <v/>
      </c>
    </row>
    <row r="490" spans="1:28" s="219" customFormat="1" ht="20.25">
      <c r="A490" s="174"/>
      <c r="B490" s="175" t="str">
        <f>IF(LEN(A490)=0,"",INDEX('Smelter Look-up'!$A:$A,MATCH($A490,'Smelter Look-up'!$E:$E,0)))</f>
        <v/>
      </c>
      <c r="C490" s="179" t="str">
        <f>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69"/>
        <v/>
      </c>
      <c r="T490" s="174" t="str">
        <f ca="1">IF(B490="","",IF(ISERROR(MATCH($J490,SorP!$B$1:$B$6279,0)),"",INDIRECT("'SorP'!$A$"&amp;MATCH($S490&amp;$J490,SorP!C:C,0))))</f>
        <v/>
      </c>
      <c r="U490" s="194"/>
      <c r="V490" s="218" t="e">
        <f>IF(C490="",NA(),IF(OR(C490="Smelter not listed",C490="Smelter not yet identified"),MATCH($B490&amp;$D490,'Smelter Look-up'!$J:$J,0),MATCH($B490&amp;$C490,'Smelter Look-up'!$J:$J,0)))</f>
        <v>#N/A</v>
      </c>
      <c r="X490" s="219">
        <f t="shared" ca="1" si="70"/>
        <v>0</v>
      </c>
      <c r="AB490" s="220" t="str">
        <f t="shared" si="71"/>
        <v/>
      </c>
    </row>
    <row r="491" spans="1:28" s="219" customFormat="1" ht="20.25">
      <c r="A491" s="174"/>
      <c r="B491" s="175" t="str">
        <f>IF(LEN(A491)=0,"",INDEX('Smelter Look-up'!$A:$A,MATCH($A491,'Smelter Look-up'!$E:$E,0)))</f>
        <v/>
      </c>
      <c r="C491" s="179" t="str">
        <f>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69"/>
        <v/>
      </c>
      <c r="T491" s="174" t="str">
        <f ca="1">IF(B491="","",IF(ISERROR(MATCH($J491,SorP!$B$1:$B$6279,0)),"",INDIRECT("'SorP'!$A$"&amp;MATCH($S491&amp;$J491,SorP!C:C,0))))</f>
        <v/>
      </c>
      <c r="U491" s="194"/>
      <c r="V491" s="218" t="e">
        <f>IF(C491="",NA(),IF(OR(C491="Smelter not listed",C491="Smelter not yet identified"),MATCH($B491&amp;$D491,'Smelter Look-up'!$J:$J,0),MATCH($B491&amp;$C491,'Smelter Look-up'!$J:$J,0)))</f>
        <v>#N/A</v>
      </c>
      <c r="X491" s="219">
        <f t="shared" ca="1" si="70"/>
        <v>0</v>
      </c>
      <c r="AB491" s="220" t="str">
        <f t="shared" si="71"/>
        <v/>
      </c>
    </row>
    <row r="492" spans="1:28" s="219" customFormat="1" ht="20.25">
      <c r="A492" s="174"/>
      <c r="B492" s="175" t="str">
        <f>IF(LEN(A492)=0,"",INDEX('Smelter Look-up'!$A:$A,MATCH($A492,'Smelter Look-up'!$E:$E,0)))</f>
        <v/>
      </c>
      <c r="C492" s="179" t="str">
        <f>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69"/>
        <v/>
      </c>
      <c r="T492" s="174" t="str">
        <f ca="1">IF(B492="","",IF(ISERROR(MATCH($J492,SorP!$B$1:$B$6279,0)),"",INDIRECT("'SorP'!$A$"&amp;MATCH($S492&amp;$J492,SorP!C:C,0))))</f>
        <v/>
      </c>
      <c r="U492" s="194"/>
      <c r="V492" s="218" t="e">
        <f>IF(C492="",NA(),IF(OR(C492="Smelter not listed",C492="Smelter not yet identified"),MATCH($B492&amp;$D492,'Smelter Look-up'!$J:$J,0),MATCH($B492&amp;$C492,'Smelter Look-up'!$J:$J,0)))</f>
        <v>#N/A</v>
      </c>
      <c r="X492" s="219">
        <f t="shared" ca="1" si="70"/>
        <v>0</v>
      </c>
      <c r="AB492" s="220" t="str">
        <f t="shared" si="71"/>
        <v/>
      </c>
    </row>
    <row r="493" spans="1:28" s="219" customFormat="1" ht="20.25">
      <c r="A493" s="174"/>
      <c r="B493" s="175" t="str">
        <f>IF(LEN(A493)=0,"",INDEX('Smelter Look-up'!$A:$A,MATCH($A493,'Smelter Look-up'!$E:$E,0)))</f>
        <v/>
      </c>
      <c r="C493" s="179" t="str">
        <f>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69"/>
        <v/>
      </c>
      <c r="T493" s="174" t="str">
        <f ca="1">IF(B493="","",IF(ISERROR(MATCH($J493,SorP!$B$1:$B$6279,0)),"",INDIRECT("'SorP'!$A$"&amp;MATCH($S493&amp;$J493,SorP!C:C,0))))</f>
        <v/>
      </c>
      <c r="U493" s="194"/>
      <c r="V493" s="218" t="e">
        <f>IF(C493="",NA(),IF(OR(C493="Smelter not listed",C493="Smelter not yet identified"),MATCH($B493&amp;$D493,'Smelter Look-up'!$J:$J,0),MATCH($B493&amp;$C493,'Smelter Look-up'!$J:$J,0)))</f>
        <v>#N/A</v>
      </c>
      <c r="X493" s="219">
        <f t="shared" ca="1" si="70"/>
        <v>0</v>
      </c>
      <c r="AB493" s="220" t="str">
        <f t="shared" si="71"/>
        <v/>
      </c>
    </row>
    <row r="494" spans="1:28" s="219" customFormat="1" ht="20.25">
      <c r="A494" s="174"/>
      <c r="B494" s="175" t="str">
        <f>IF(LEN(A494)=0,"",INDEX('Smelter Look-up'!$A:$A,MATCH($A494,'Smelter Look-up'!$E:$E,0)))</f>
        <v/>
      </c>
      <c r="C494" s="179" t="str">
        <f>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69"/>
        <v/>
      </c>
      <c r="T494" s="174" t="str">
        <f ca="1">IF(B494="","",IF(ISERROR(MATCH($J494,SorP!$B$1:$B$6279,0)),"",INDIRECT("'SorP'!$A$"&amp;MATCH($S494&amp;$J494,SorP!C:C,0))))</f>
        <v/>
      </c>
      <c r="U494" s="194"/>
      <c r="V494" s="218" t="e">
        <f>IF(C494="",NA(),IF(OR(C494="Smelter not listed",C494="Smelter not yet identified"),MATCH($B494&amp;$D494,'Smelter Look-up'!$J:$J,0),MATCH($B494&amp;$C494,'Smelter Look-up'!$J:$J,0)))</f>
        <v>#N/A</v>
      </c>
      <c r="X494" s="219">
        <f t="shared" ca="1" si="70"/>
        <v>0</v>
      </c>
      <c r="AB494" s="220" t="str">
        <f t="shared" si="71"/>
        <v/>
      </c>
    </row>
    <row r="495" spans="1:28" s="219" customFormat="1" ht="20.25">
      <c r="A495" s="174"/>
      <c r="B495" s="175" t="str">
        <f>IF(LEN(A495)=0,"",INDEX('Smelter Look-up'!$A:$A,MATCH($A495,'Smelter Look-up'!$E:$E,0)))</f>
        <v/>
      </c>
      <c r="C495" s="179" t="str">
        <f>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69"/>
        <v/>
      </c>
      <c r="T495" s="174" t="str">
        <f ca="1">IF(B495="","",IF(ISERROR(MATCH($J495,SorP!$B$1:$B$6279,0)),"",INDIRECT("'SorP'!$A$"&amp;MATCH($S495&amp;$J495,SorP!C:C,0))))</f>
        <v/>
      </c>
      <c r="U495" s="194"/>
      <c r="V495" s="218" t="e">
        <f>IF(C495="",NA(),IF(OR(C495="Smelter not listed",C495="Smelter not yet identified"),MATCH($B495&amp;$D495,'Smelter Look-up'!$J:$J,0),MATCH($B495&amp;$C495,'Smelter Look-up'!$J:$J,0)))</f>
        <v>#N/A</v>
      </c>
      <c r="X495" s="219">
        <f t="shared" ca="1" si="70"/>
        <v>0</v>
      </c>
      <c r="AB495" s="220" t="str">
        <f t="shared" si="71"/>
        <v/>
      </c>
    </row>
    <row r="496" spans="1:28" s="219" customFormat="1" ht="20.25">
      <c r="A496" s="174"/>
      <c r="B496" s="175" t="str">
        <f>IF(LEN(A496)=0,"",INDEX('Smelter Look-up'!$A:$A,MATCH($A496,'Smelter Look-up'!$E:$E,0)))</f>
        <v/>
      </c>
      <c r="C496" s="179" t="str">
        <f>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69"/>
        <v/>
      </c>
      <c r="T496" s="174" t="str">
        <f ca="1">IF(B496="","",IF(ISERROR(MATCH($J496,SorP!$B$1:$B$6279,0)),"",INDIRECT("'SorP'!$A$"&amp;MATCH($S496&amp;$J496,SorP!C:C,0))))</f>
        <v/>
      </c>
      <c r="U496" s="194"/>
      <c r="V496" s="218" t="e">
        <f>IF(C496="",NA(),IF(OR(C496="Smelter not listed",C496="Smelter not yet identified"),MATCH($B496&amp;$D496,'Smelter Look-up'!$J:$J,0),MATCH($B496&amp;$C496,'Smelter Look-up'!$J:$J,0)))</f>
        <v>#N/A</v>
      </c>
      <c r="X496" s="219">
        <f t="shared" ca="1" si="70"/>
        <v>0</v>
      </c>
      <c r="AB496" s="220" t="str">
        <f t="shared" si="71"/>
        <v/>
      </c>
    </row>
    <row r="497" spans="1:28" s="219" customFormat="1" ht="20.25">
      <c r="A497" s="174"/>
      <c r="B497" s="175" t="str">
        <f>IF(LEN(A497)=0,"",INDEX('Smelter Look-up'!$A:$A,MATCH($A497,'Smelter Look-up'!$E:$E,0)))</f>
        <v/>
      </c>
      <c r="C497" s="179" t="str">
        <f>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69"/>
        <v/>
      </c>
      <c r="T497" s="174" t="str">
        <f ca="1">IF(B497="","",IF(ISERROR(MATCH($J497,SorP!$B$1:$B$6279,0)),"",INDIRECT("'SorP'!$A$"&amp;MATCH($S497&amp;$J497,SorP!C:C,0))))</f>
        <v/>
      </c>
      <c r="U497" s="194"/>
      <c r="V497" s="218" t="e">
        <f>IF(C497="",NA(),IF(OR(C497="Smelter not listed",C497="Smelter not yet identified"),MATCH($B497&amp;$D497,'Smelter Look-up'!$J:$J,0),MATCH($B497&amp;$C497,'Smelter Look-up'!$J:$J,0)))</f>
        <v>#N/A</v>
      </c>
      <c r="X497" s="219">
        <f t="shared" ca="1" si="70"/>
        <v>0</v>
      </c>
      <c r="AB497" s="220" t="str">
        <f t="shared" si="71"/>
        <v/>
      </c>
    </row>
    <row r="498" spans="1:28" s="219" customFormat="1" ht="20.25">
      <c r="A498" s="174"/>
      <c r="B498" s="175" t="str">
        <f>IF(LEN(A498)=0,"",INDEX('Smelter Look-up'!$A:$A,MATCH($A498,'Smelter Look-up'!$E:$E,0)))</f>
        <v/>
      </c>
      <c r="C498" s="179" t="str">
        <f>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69"/>
        <v/>
      </c>
      <c r="T498" s="174" t="str">
        <f ca="1">IF(B498="","",IF(ISERROR(MATCH($J498,SorP!$B$1:$B$6279,0)),"",INDIRECT("'SorP'!$A$"&amp;MATCH($S498&amp;$J498,SorP!C:C,0))))</f>
        <v/>
      </c>
      <c r="U498" s="194"/>
      <c r="V498" s="218" t="e">
        <f>IF(C498="",NA(),IF(OR(C498="Smelter not listed",C498="Smelter not yet identified"),MATCH($B498&amp;$D498,'Smelter Look-up'!$J:$J,0),MATCH($B498&amp;$C498,'Smelter Look-up'!$J:$J,0)))</f>
        <v>#N/A</v>
      </c>
      <c r="X498" s="219">
        <f t="shared" ca="1" si="70"/>
        <v>0</v>
      </c>
      <c r="AB498" s="220" t="str">
        <f t="shared" si="71"/>
        <v/>
      </c>
    </row>
    <row r="499" spans="1:28" s="219" customFormat="1" ht="20.25">
      <c r="A499" s="174"/>
      <c r="B499" s="175" t="str">
        <f>IF(LEN(A499)=0,"",INDEX('Smelter Look-up'!$A:$A,MATCH($A499,'Smelter Look-up'!$E:$E,0)))</f>
        <v/>
      </c>
      <c r="C499" s="179" t="str">
        <f>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69"/>
        <v/>
      </c>
      <c r="T499" s="174" t="str">
        <f ca="1">IF(B499="","",IF(ISERROR(MATCH($J499,SorP!$B$1:$B$6279,0)),"",INDIRECT("'SorP'!$A$"&amp;MATCH($S499&amp;$J499,SorP!C:C,0))))</f>
        <v/>
      </c>
      <c r="U499" s="194"/>
      <c r="V499" s="218" t="e">
        <f>IF(C499="",NA(),IF(OR(C499="Smelter not listed",C499="Smelter not yet identified"),MATCH($B499&amp;$D499,'Smelter Look-up'!$J:$J,0),MATCH($B499&amp;$C499,'Smelter Look-up'!$J:$J,0)))</f>
        <v>#N/A</v>
      </c>
      <c r="X499" s="219">
        <f t="shared" ca="1" si="70"/>
        <v>0</v>
      </c>
      <c r="AB499" s="220" t="str">
        <f t="shared" si="71"/>
        <v/>
      </c>
    </row>
    <row r="500" spans="1:28" s="219" customFormat="1" ht="20.25">
      <c r="A500" s="174"/>
      <c r="B500" s="175" t="str">
        <f>IF(LEN(A500)=0,"",INDEX('Smelter Look-up'!$A:$A,MATCH($A500,'Smelter Look-up'!$E:$E,0)))</f>
        <v/>
      </c>
      <c r="C500" s="179" t="str">
        <f>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69"/>
        <v/>
      </c>
      <c r="T500" s="174" t="str">
        <f ca="1">IF(B500="","",IF(ISERROR(MATCH($J500,SorP!$B$1:$B$6279,0)),"",INDIRECT("'SorP'!$A$"&amp;MATCH($S500&amp;$J500,SorP!C:C,0))))</f>
        <v/>
      </c>
      <c r="U500" s="194"/>
      <c r="V500" s="218" t="e">
        <f>IF(C500="",NA(),IF(OR(C500="Smelter not listed",C500="Smelter not yet identified"),MATCH($B500&amp;$D500,'Smelter Look-up'!$J:$J,0),MATCH($B500&amp;$C500,'Smelter Look-up'!$J:$J,0)))</f>
        <v>#N/A</v>
      </c>
      <c r="X500" s="219">
        <f t="shared" ca="1" si="70"/>
        <v>0</v>
      </c>
      <c r="AB500" s="220" t="str">
        <f t="shared" si="71"/>
        <v/>
      </c>
    </row>
    <row r="501" spans="1:28" s="219" customFormat="1" ht="20.25">
      <c r="A501" s="174"/>
      <c r="B501" s="175" t="str">
        <f>IF(LEN(A501)=0,"",INDEX('Smelter Look-up'!$A:$A,MATCH($A501,'Smelter Look-up'!$E:$E,0)))</f>
        <v/>
      </c>
      <c r="C501" s="179" t="str">
        <f>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69"/>
        <v/>
      </c>
      <c r="T501" s="174" t="str">
        <f ca="1">IF(B501="","",IF(ISERROR(MATCH($J501,SorP!$B$1:$B$6279,0)),"",INDIRECT("'SorP'!$A$"&amp;MATCH($S501&amp;$J501,SorP!C:C,0))))</f>
        <v/>
      </c>
      <c r="U501" s="194"/>
      <c r="V501" s="218" t="e">
        <f>IF(C501="",NA(),IF(OR(C501="Smelter not listed",C501="Smelter not yet identified"),MATCH($B501&amp;$D501,'Smelter Look-up'!$J:$J,0),MATCH($B501&amp;$C501,'Smelter Look-up'!$J:$J,0)))</f>
        <v>#N/A</v>
      </c>
      <c r="X501" s="219">
        <f t="shared" ca="1" si="70"/>
        <v>0</v>
      </c>
      <c r="AB501" s="220" t="str">
        <f t="shared" si="71"/>
        <v/>
      </c>
    </row>
    <row r="502" spans="1:28" s="219" customFormat="1" ht="20.25">
      <c r="A502" s="174"/>
      <c r="B502" s="175" t="str">
        <f>IF(LEN(A502)=0,"",INDEX('Smelter Look-up'!$A:$A,MATCH($A502,'Smelter Look-up'!$E:$E,0)))</f>
        <v/>
      </c>
      <c r="C502" s="179" t="str">
        <f>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69"/>
        <v/>
      </c>
      <c r="T502" s="174" t="str">
        <f ca="1">IF(B502="","",IF(ISERROR(MATCH($J502,SorP!$B$1:$B$6279,0)),"",INDIRECT("'SorP'!$A$"&amp;MATCH($S502&amp;$J502,SorP!C:C,0))))</f>
        <v/>
      </c>
      <c r="U502" s="194"/>
      <c r="V502" s="218" t="e">
        <f>IF(C502="",NA(),IF(OR(C502="Smelter not listed",C502="Smelter not yet identified"),MATCH($B502&amp;$D502,'Smelter Look-up'!$J:$J,0),MATCH($B502&amp;$C502,'Smelter Look-up'!$J:$J,0)))</f>
        <v>#N/A</v>
      </c>
      <c r="X502" s="219">
        <f t="shared" ca="1" si="70"/>
        <v>0</v>
      </c>
      <c r="AB502" s="220" t="str">
        <f t="shared" si="71"/>
        <v/>
      </c>
    </row>
    <row r="503" spans="1:28" s="219" customFormat="1" ht="20.25">
      <c r="A503" s="174"/>
      <c r="B503" s="175" t="str">
        <f>IF(LEN(A503)=0,"",INDEX('Smelter Look-up'!$A:$A,MATCH($A503,'Smelter Look-up'!$E:$E,0)))</f>
        <v/>
      </c>
      <c r="C503" s="179" t="str">
        <f>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69"/>
        <v/>
      </c>
      <c r="T503" s="174" t="str">
        <f ca="1">IF(B503="","",IF(ISERROR(MATCH($J503,SorP!$B$1:$B$6279,0)),"",INDIRECT("'SorP'!$A$"&amp;MATCH($S503&amp;$J503,SorP!C:C,0))))</f>
        <v/>
      </c>
      <c r="U503" s="194"/>
      <c r="V503" s="218" t="e">
        <f>IF(C503="",NA(),IF(OR(C503="Smelter not listed",C503="Smelter not yet identified"),MATCH($B503&amp;$D503,'Smelter Look-up'!$J:$J,0),MATCH($B503&amp;$C503,'Smelter Look-up'!$J:$J,0)))</f>
        <v>#N/A</v>
      </c>
      <c r="X503" s="219">
        <f t="shared" ca="1" si="70"/>
        <v>0</v>
      </c>
      <c r="AB503" s="220" t="str">
        <f t="shared" si="71"/>
        <v/>
      </c>
    </row>
    <row r="504" spans="1:28" s="219" customFormat="1" ht="20.25">
      <c r="A504" s="174"/>
      <c r="B504" s="175" t="str">
        <f>IF(LEN(A504)=0,"",INDEX('Smelter Look-up'!$A:$A,MATCH($A504,'Smelter Look-up'!$E:$E,0)))</f>
        <v/>
      </c>
      <c r="C504" s="179" t="str">
        <f>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69"/>
        <v/>
      </c>
      <c r="T504" s="174" t="str">
        <f ca="1">IF(B504="","",IF(ISERROR(MATCH($J504,SorP!$B$1:$B$6279,0)),"",INDIRECT("'SorP'!$A$"&amp;MATCH($S504&amp;$J504,SorP!C:C,0))))</f>
        <v/>
      </c>
      <c r="U504" s="194"/>
      <c r="V504" s="218" t="e">
        <f>IF(C504="",NA(),IF(OR(C504="Smelter not listed",C504="Smelter not yet identified"),MATCH($B504&amp;$D504,'Smelter Look-up'!$J:$J,0),MATCH($B504&amp;$C504,'Smelter Look-up'!$J:$J,0)))</f>
        <v>#N/A</v>
      </c>
      <c r="X504" s="219">
        <f t="shared" ca="1" si="70"/>
        <v>0</v>
      </c>
      <c r="AB504" s="220" t="str">
        <f t="shared" si="71"/>
        <v/>
      </c>
    </row>
    <row r="505" spans="1:28" s="219" customFormat="1" ht="20.25">
      <c r="A505" s="174"/>
      <c r="B505" s="175" t="str">
        <f>IF(LEN(A505)=0,"",INDEX('Smelter Look-up'!$A:$A,MATCH($A505,'Smelter Look-up'!$E:$E,0)))</f>
        <v/>
      </c>
      <c r="C505" s="179" t="str">
        <f>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69"/>
        <v/>
      </c>
      <c r="T505" s="174" t="str">
        <f ca="1">IF(B505="","",IF(ISERROR(MATCH($J505,SorP!$B$1:$B$6279,0)),"",INDIRECT("'SorP'!$A$"&amp;MATCH($S505&amp;$J505,SorP!C:C,0))))</f>
        <v/>
      </c>
      <c r="U505" s="194"/>
      <c r="V505" s="218" t="e">
        <f>IF(C505="",NA(),IF(OR(C505="Smelter not listed",C505="Smelter not yet identified"),MATCH($B505&amp;$D505,'Smelter Look-up'!$J:$J,0),MATCH($B505&amp;$C505,'Smelter Look-up'!$J:$J,0)))</f>
        <v>#N/A</v>
      </c>
      <c r="X505" s="219">
        <f t="shared" ca="1" si="70"/>
        <v>0</v>
      </c>
      <c r="AB505" s="220" t="str">
        <f t="shared" si="71"/>
        <v/>
      </c>
    </row>
    <row r="506" spans="1:28" s="219" customFormat="1" ht="20.25">
      <c r="A506" s="174"/>
      <c r="B506" s="175" t="str">
        <f>IF(LEN(A506)=0,"",INDEX('Smelter Look-up'!$A:$A,MATCH($A506,'Smelter Look-up'!$E:$E,0)))</f>
        <v/>
      </c>
      <c r="C506" s="179" t="str">
        <f>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69"/>
        <v/>
      </c>
      <c r="T506" s="174" t="str">
        <f ca="1">IF(B506="","",IF(ISERROR(MATCH($J506,SorP!$B$1:$B$6279,0)),"",INDIRECT("'SorP'!$A$"&amp;MATCH($S506&amp;$J506,SorP!C:C,0))))</f>
        <v/>
      </c>
      <c r="U506" s="194"/>
      <c r="V506" s="218" t="e">
        <f>IF(C506="",NA(),IF(OR(C506="Smelter not listed",C506="Smelter not yet identified"),MATCH($B506&amp;$D506,'Smelter Look-up'!$J:$J,0),MATCH($B506&amp;$C506,'Smelter Look-up'!$J:$J,0)))</f>
        <v>#N/A</v>
      </c>
      <c r="X506" s="219">
        <f t="shared" ca="1" si="70"/>
        <v>0</v>
      </c>
      <c r="AB506" s="220" t="str">
        <f t="shared" si="71"/>
        <v/>
      </c>
    </row>
    <row r="507" spans="1:28" s="219" customFormat="1" ht="20.25">
      <c r="A507" s="174"/>
      <c r="B507" s="175" t="str">
        <f>IF(LEN(A507)=0,"",INDEX('Smelter Look-up'!$A:$A,MATCH($A507,'Smelter Look-up'!$E:$E,0)))</f>
        <v/>
      </c>
      <c r="C507" s="179" t="str">
        <f>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69"/>
        <v/>
      </c>
      <c r="T507" s="174" t="str">
        <f ca="1">IF(B507="","",IF(ISERROR(MATCH($J507,SorP!$B$1:$B$6279,0)),"",INDIRECT("'SorP'!$A$"&amp;MATCH($S507&amp;$J507,SorP!C:C,0))))</f>
        <v/>
      </c>
      <c r="U507" s="194"/>
      <c r="V507" s="218" t="e">
        <f>IF(C507="",NA(),IF(OR(C507="Smelter not listed",C507="Smelter not yet identified"),MATCH($B507&amp;$D507,'Smelter Look-up'!$J:$J,0),MATCH($B507&amp;$C507,'Smelter Look-up'!$J:$J,0)))</f>
        <v>#N/A</v>
      </c>
      <c r="X507" s="219">
        <f t="shared" ca="1" si="70"/>
        <v>0</v>
      </c>
      <c r="AB507" s="220" t="str">
        <f t="shared" si="71"/>
        <v/>
      </c>
    </row>
    <row r="508" spans="1:28" s="219" customFormat="1" ht="20.25">
      <c r="A508" s="174"/>
      <c r="B508" s="175" t="str">
        <f>IF(LEN(A508)=0,"",INDEX('Smelter Look-up'!$A:$A,MATCH($A508,'Smelter Look-up'!$E:$E,0)))</f>
        <v/>
      </c>
      <c r="C508" s="179" t="str">
        <f>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69"/>
        <v/>
      </c>
      <c r="T508" s="174" t="str">
        <f ca="1">IF(B508="","",IF(ISERROR(MATCH($J508,SorP!$B$1:$B$6279,0)),"",INDIRECT("'SorP'!$A$"&amp;MATCH($S508&amp;$J508,SorP!C:C,0))))</f>
        <v/>
      </c>
      <c r="U508" s="194"/>
      <c r="V508" s="218" t="e">
        <f>IF(C508="",NA(),IF(OR(C508="Smelter not listed",C508="Smelter not yet identified"),MATCH($B508&amp;$D508,'Smelter Look-up'!$J:$J,0),MATCH($B508&amp;$C508,'Smelter Look-up'!$J:$J,0)))</f>
        <v>#N/A</v>
      </c>
      <c r="X508" s="219">
        <f t="shared" ca="1" si="70"/>
        <v>0</v>
      </c>
      <c r="AB508" s="220" t="str">
        <f t="shared" si="71"/>
        <v/>
      </c>
    </row>
    <row r="509" spans="1:28" s="219" customFormat="1" ht="20.25">
      <c r="A509" s="174"/>
      <c r="B509" s="175" t="str">
        <f>IF(LEN(A509)=0,"",INDEX('Smelter Look-up'!$A:$A,MATCH($A509,'Smelter Look-up'!$E:$E,0)))</f>
        <v/>
      </c>
      <c r="C509" s="179" t="str">
        <f>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69"/>
        <v/>
      </c>
      <c r="T509" s="174" t="str">
        <f ca="1">IF(B509="","",IF(ISERROR(MATCH($J509,SorP!$B$1:$B$6279,0)),"",INDIRECT("'SorP'!$A$"&amp;MATCH($S509&amp;$J509,SorP!C:C,0))))</f>
        <v/>
      </c>
      <c r="U509" s="194"/>
      <c r="V509" s="218" t="e">
        <f>IF(C509="",NA(),IF(OR(C509="Smelter not listed",C509="Smelter not yet identified"),MATCH($B509&amp;$D509,'Smelter Look-up'!$J:$J,0),MATCH($B509&amp;$C509,'Smelter Look-up'!$J:$J,0)))</f>
        <v>#N/A</v>
      </c>
      <c r="X509" s="219">
        <f t="shared" ca="1" si="70"/>
        <v>0</v>
      </c>
      <c r="AB509" s="220" t="str">
        <f t="shared" si="71"/>
        <v/>
      </c>
    </row>
    <row r="510" spans="1:28" s="219" customFormat="1" ht="20.25">
      <c r="A510" s="174"/>
      <c r="B510" s="175" t="str">
        <f>IF(LEN(A510)=0,"",INDEX('Smelter Look-up'!$A:$A,MATCH($A510,'Smelter Look-up'!$E:$E,0)))</f>
        <v/>
      </c>
      <c r="C510" s="179" t="str">
        <f>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69"/>
        <v/>
      </c>
      <c r="T510" s="174" t="str">
        <f ca="1">IF(B510="","",IF(ISERROR(MATCH($J510,SorP!$B$1:$B$6279,0)),"",INDIRECT("'SorP'!$A$"&amp;MATCH($S510&amp;$J510,SorP!C:C,0))))</f>
        <v/>
      </c>
      <c r="U510" s="194"/>
      <c r="V510" s="218" t="e">
        <f>IF(C510="",NA(),IF(OR(C510="Smelter not listed",C510="Smelter not yet identified"),MATCH($B510&amp;$D510,'Smelter Look-up'!$J:$J,0),MATCH($B510&amp;$C510,'Smelter Look-up'!$J:$J,0)))</f>
        <v>#N/A</v>
      </c>
      <c r="X510" s="219">
        <f t="shared" ca="1" si="70"/>
        <v>0</v>
      </c>
      <c r="AB510" s="220" t="str">
        <f t="shared" si="71"/>
        <v/>
      </c>
    </row>
    <row r="511" spans="1:28" s="219" customFormat="1" ht="20.25">
      <c r="A511" s="174"/>
      <c r="B511" s="175" t="str">
        <f>IF(LEN(A511)=0,"",INDEX('Smelter Look-up'!$A:$A,MATCH($A511,'Smelter Look-up'!$E:$E,0)))</f>
        <v/>
      </c>
      <c r="C511" s="179" t="str">
        <f>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69"/>
        <v/>
      </c>
      <c r="T511" s="174" t="str">
        <f ca="1">IF(B511="","",IF(ISERROR(MATCH($J511,SorP!$B$1:$B$6279,0)),"",INDIRECT("'SorP'!$A$"&amp;MATCH($S511&amp;$J511,SorP!C:C,0))))</f>
        <v/>
      </c>
      <c r="U511" s="194"/>
      <c r="V511" s="218" t="e">
        <f>IF(C511="",NA(),IF(OR(C511="Smelter not listed",C511="Smelter not yet identified"),MATCH($B511&amp;$D511,'Smelter Look-up'!$J:$J,0),MATCH($B511&amp;$C511,'Smelter Look-up'!$J:$J,0)))</f>
        <v>#N/A</v>
      </c>
      <c r="X511" s="219">
        <f t="shared" ca="1" si="70"/>
        <v>0</v>
      </c>
      <c r="AB511" s="220" t="str">
        <f t="shared" si="71"/>
        <v/>
      </c>
    </row>
    <row r="512" spans="1:28" s="219" customFormat="1" ht="20.25">
      <c r="A512" s="174"/>
      <c r="B512" s="175" t="str">
        <f>IF(LEN(A512)=0,"",INDEX('Smelter Look-up'!$A:$A,MATCH($A512,'Smelter Look-up'!$E:$E,0)))</f>
        <v/>
      </c>
      <c r="C512" s="179" t="str">
        <f>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69"/>
        <v/>
      </c>
      <c r="T512" s="174" t="str">
        <f ca="1">IF(B512="","",IF(ISERROR(MATCH($J512,SorP!$B$1:$B$6279,0)),"",INDIRECT("'SorP'!$A$"&amp;MATCH($S512&amp;$J512,SorP!C:C,0))))</f>
        <v/>
      </c>
      <c r="U512" s="194"/>
      <c r="V512" s="218" t="e">
        <f>IF(C512="",NA(),IF(OR(C512="Smelter not listed",C512="Smelter not yet identified"),MATCH($B512&amp;$D512,'Smelter Look-up'!$J:$J,0),MATCH($B512&amp;$C512,'Smelter Look-up'!$J:$J,0)))</f>
        <v>#N/A</v>
      </c>
      <c r="X512" s="219">
        <f t="shared" ca="1" si="70"/>
        <v>0</v>
      </c>
      <c r="AB512" s="220" t="str">
        <f t="shared" si="71"/>
        <v/>
      </c>
    </row>
    <row r="513" spans="1:28" s="219" customFormat="1" ht="20.25">
      <c r="A513" s="174"/>
      <c r="B513" s="175" t="str">
        <f>IF(LEN(A513)=0,"",INDEX('Smelter Look-up'!$A:$A,MATCH($A513,'Smelter Look-up'!$E:$E,0)))</f>
        <v/>
      </c>
      <c r="C513" s="179" t="str">
        <f>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69"/>
        <v/>
      </c>
      <c r="T513" s="174" t="str">
        <f ca="1">IF(B513="","",IF(ISERROR(MATCH($J513,SorP!$B$1:$B$6279,0)),"",INDIRECT("'SorP'!$A$"&amp;MATCH($S513&amp;$J513,SorP!C:C,0))))</f>
        <v/>
      </c>
      <c r="U513" s="194"/>
      <c r="V513" s="218" t="e">
        <f>IF(C513="",NA(),IF(OR(C513="Smelter not listed",C513="Smelter not yet identified"),MATCH($B513&amp;$D513,'Smelter Look-up'!$J:$J,0),MATCH($B513&amp;$C513,'Smelter Look-up'!$J:$J,0)))</f>
        <v>#N/A</v>
      </c>
      <c r="X513" s="219">
        <f t="shared" ca="1" si="70"/>
        <v>0</v>
      </c>
      <c r="AB513" s="220" t="str">
        <f t="shared" si="71"/>
        <v/>
      </c>
    </row>
    <row r="514" spans="1:28" s="219" customFormat="1" ht="20.25">
      <c r="A514" s="174"/>
      <c r="B514" s="175" t="str">
        <f>IF(LEN(A514)=0,"",INDEX('Smelter Look-up'!$A:$A,MATCH($A514,'Smelter Look-up'!$E:$E,0)))</f>
        <v/>
      </c>
      <c r="C514" s="179" t="str">
        <f>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69"/>
        <v/>
      </c>
      <c r="T514" s="174" t="str">
        <f ca="1">IF(B514="","",IF(ISERROR(MATCH($J514,SorP!$B$1:$B$6279,0)),"",INDIRECT("'SorP'!$A$"&amp;MATCH($S514&amp;$J514,SorP!C:C,0))))</f>
        <v/>
      </c>
      <c r="U514" s="194"/>
      <c r="V514" s="218" t="e">
        <f>IF(C514="",NA(),IF(OR(C514="Smelter not listed",C514="Smelter not yet identified"),MATCH($B514&amp;$D514,'Smelter Look-up'!$J:$J,0),MATCH($B514&amp;$C514,'Smelter Look-up'!$J:$J,0)))</f>
        <v>#N/A</v>
      </c>
      <c r="X514" s="219">
        <f t="shared" ca="1" si="70"/>
        <v>0</v>
      </c>
      <c r="AB514" s="220" t="str">
        <f t="shared" si="71"/>
        <v/>
      </c>
    </row>
    <row r="515" spans="1:28" s="219" customFormat="1" ht="20.25">
      <c r="A515" s="174"/>
      <c r="B515" s="175" t="str">
        <f>IF(LEN(A515)=0,"",INDEX('Smelter Look-up'!$A:$A,MATCH($A515,'Smelter Look-up'!$E:$E,0)))</f>
        <v/>
      </c>
      <c r="C515" s="179" t="str">
        <f>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69"/>
        <v/>
      </c>
      <c r="T515" s="174" t="str">
        <f ca="1">IF(B515="","",IF(ISERROR(MATCH($J515,SorP!$B$1:$B$6279,0)),"",INDIRECT("'SorP'!$A$"&amp;MATCH($S515&amp;$J515,SorP!C:C,0))))</f>
        <v/>
      </c>
      <c r="U515" s="194"/>
      <c r="V515" s="218" t="e">
        <f>IF(C515="",NA(),IF(OR(C515="Smelter not listed",C515="Smelter not yet identified"),MATCH($B515&amp;$D515,'Smelter Look-up'!$J:$J,0),MATCH($B515&amp;$C515,'Smelter Look-up'!$J:$J,0)))</f>
        <v>#N/A</v>
      </c>
      <c r="X515" s="219">
        <f t="shared" ca="1" si="70"/>
        <v>0</v>
      </c>
      <c r="AB515" s="220" t="str">
        <f t="shared" si="71"/>
        <v/>
      </c>
    </row>
    <row r="516" spans="1:28" s="219" customFormat="1" ht="20.25">
      <c r="A516" s="174"/>
      <c r="B516" s="175" t="str">
        <f>IF(LEN(A516)=0,"",INDEX('Smelter Look-up'!$A:$A,MATCH($A516,'Smelter Look-up'!$E:$E,0)))</f>
        <v/>
      </c>
      <c r="C516" s="179" t="str">
        <f>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ca="1" si="69"/>
        <v/>
      </c>
      <c r="T516" s="174" t="str">
        <f ca="1">IF(B516="","",IF(ISERROR(MATCH($J516,SorP!$B$1:$B$6279,0)),"",INDIRECT("'SorP'!$A$"&amp;MATCH($S516&amp;$J516,SorP!C:C,0))))</f>
        <v/>
      </c>
      <c r="U516" s="194"/>
      <c r="V516" s="218" t="e">
        <f>IF(C516="",NA(),IF(OR(C516="Smelter not listed",C516="Smelter not yet identified"),MATCH($B516&amp;$D516,'Smelter Look-up'!$J:$J,0),MATCH($B516&amp;$C516,'Smelter Look-up'!$J:$J,0)))</f>
        <v>#N/A</v>
      </c>
      <c r="X516" s="219">
        <f t="shared" ca="1" si="70"/>
        <v>0</v>
      </c>
      <c r="AB516" s="220" t="str">
        <f t="shared" si="71"/>
        <v/>
      </c>
    </row>
    <row r="517" spans="1:28" s="219" customFormat="1" ht="20.25">
      <c r="A517" s="174"/>
      <c r="B517" s="175" t="str">
        <f>IF(LEN(A517)=0,"",INDEX('Smelter Look-up'!$A:$A,MATCH($A517,'Smelter Look-up'!$E:$E,0)))</f>
        <v/>
      </c>
      <c r="C517" s="179" t="str">
        <f>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ref="S517" ca="1" si="72">IF(B517="","",IF(ISERROR(MATCH($E517,CL,0)),"Unknown",INDIRECT("'C'!$A$"&amp;MATCH($E517,CL,0)+1)))</f>
        <v/>
      </c>
      <c r="T517" s="174" t="str">
        <f ca="1">IF(B517="","",IF(ISERROR(MATCH($J517,SorP!$B$1:$B$6279,0)),"",INDIRECT("'SorP'!$A$"&amp;MATCH($S517&amp;$J517,SorP!C:C,0))))</f>
        <v/>
      </c>
      <c r="U517" s="194"/>
      <c r="V517" s="218" t="e">
        <f>IF(C517="",NA(),IF(OR(C517="Smelter not listed",C517="Smelter not yet identified"),MATCH($B517&amp;$D517,'Smelter Look-up'!$J:$J,0),MATCH($B517&amp;$C517,'Smelter Look-up'!$J:$J,0)))</f>
        <v>#N/A</v>
      </c>
      <c r="X517" s="219">
        <f t="shared" ref="X517" ca="1" si="73">IF(AND(C517="Smelter not listed",OR(LEN(D517)=0,LEN(E517)=0)),1,0)</f>
        <v>0</v>
      </c>
      <c r="AB517" s="220" t="str">
        <f t="shared" ref="AB517" si="74">B517&amp;C517</f>
        <v/>
      </c>
    </row>
    <row r="518" spans="1:28" s="219" customFormat="1" ht="20.25">
      <c r="A518" s="174"/>
      <c r="B518" s="175" t="str">
        <f>IF(LEN(A518)=0,"",INDEX('Smelter Look-up'!$A:$A,MATCH($A518,'Smelter Look-up'!$E:$E,0)))</f>
        <v/>
      </c>
      <c r="C518" s="179" t="str">
        <f>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ref="S518:S549" ca="1" si="75">IF(B518="","",IF(ISERROR(MATCH($E518,CL,0)),"Unknown",INDIRECT("'C'!$A$"&amp;MATCH($E518,CL,0)+1)))</f>
        <v/>
      </c>
      <c r="T518" s="174" t="str">
        <f ca="1">IF(B518="","",IF(ISERROR(MATCH($J518,SorP!$B$1:$B$6279,0)),"",INDIRECT("'SorP'!$A$"&amp;MATCH($S518&amp;$J518,SorP!C:C,0))))</f>
        <v/>
      </c>
      <c r="U518" s="194"/>
      <c r="V518" s="218" t="e">
        <f>IF(C518="",NA(),IF(OR(C518="Smelter not listed",C518="Smelter not yet identified"),MATCH($B518&amp;$D518,'Smelter Look-up'!$J:$J,0),MATCH($B518&amp;$C518,'Smelter Look-up'!$J:$J,0)))</f>
        <v>#N/A</v>
      </c>
      <c r="X518" s="219">
        <f t="shared" ref="X518:X549" ca="1" si="76">IF(AND(C518="Smelter not listed",OR(LEN(D518)=0,LEN(E518)=0)),1,0)</f>
        <v>0</v>
      </c>
      <c r="AB518" s="220" t="str">
        <f t="shared" ref="AB518:AB549" si="77">B518&amp;C518</f>
        <v/>
      </c>
    </row>
    <row r="519" spans="1:28" s="219" customFormat="1" ht="20.25">
      <c r="A519" s="174"/>
      <c r="B519" s="175" t="str">
        <f>IF(LEN(A519)=0,"",INDEX('Smelter Look-up'!$A:$A,MATCH($A519,'Smelter Look-up'!$E:$E,0)))</f>
        <v/>
      </c>
      <c r="C519" s="179" t="str">
        <f>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75"/>
        <v/>
      </c>
      <c r="T519" s="174" t="str">
        <f ca="1">IF(B519="","",IF(ISERROR(MATCH($J519,SorP!$B$1:$B$6279,0)),"",INDIRECT("'SorP'!$A$"&amp;MATCH($S519&amp;$J519,SorP!C:C,0))))</f>
        <v/>
      </c>
      <c r="U519" s="194"/>
      <c r="V519" s="218" t="e">
        <f>IF(C519="",NA(),IF(OR(C519="Smelter not listed",C519="Smelter not yet identified"),MATCH($B519&amp;$D519,'Smelter Look-up'!$J:$J,0),MATCH($B519&amp;$C519,'Smelter Look-up'!$J:$J,0)))</f>
        <v>#N/A</v>
      </c>
      <c r="X519" s="219">
        <f t="shared" ca="1" si="76"/>
        <v>0</v>
      </c>
      <c r="AB519" s="220" t="str">
        <f t="shared" si="77"/>
        <v/>
      </c>
    </row>
    <row r="520" spans="1:28" s="219" customFormat="1" ht="20.25">
      <c r="A520" s="174"/>
      <c r="B520" s="175" t="str">
        <f>IF(LEN(A520)=0,"",INDEX('Smelter Look-up'!$A:$A,MATCH($A520,'Smelter Look-up'!$E:$E,0)))</f>
        <v/>
      </c>
      <c r="C520" s="179" t="str">
        <f>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75"/>
        <v/>
      </c>
      <c r="T520" s="174" t="str">
        <f ca="1">IF(B520="","",IF(ISERROR(MATCH($J520,SorP!$B$1:$B$6279,0)),"",INDIRECT("'SorP'!$A$"&amp;MATCH($S520&amp;$J520,SorP!C:C,0))))</f>
        <v/>
      </c>
      <c r="U520" s="194"/>
      <c r="V520" s="218" t="e">
        <f>IF(C520="",NA(),IF(OR(C520="Smelter not listed",C520="Smelter not yet identified"),MATCH($B520&amp;$D520,'Smelter Look-up'!$J:$J,0),MATCH($B520&amp;$C520,'Smelter Look-up'!$J:$J,0)))</f>
        <v>#N/A</v>
      </c>
      <c r="X520" s="219">
        <f t="shared" ca="1" si="76"/>
        <v>0</v>
      </c>
      <c r="AB520" s="220" t="str">
        <f t="shared" si="77"/>
        <v/>
      </c>
    </row>
    <row r="521" spans="1:28" s="219" customFormat="1" ht="20.25">
      <c r="A521" s="174"/>
      <c r="B521" s="175" t="str">
        <f>IF(LEN(A521)=0,"",INDEX('Smelter Look-up'!$A:$A,MATCH($A521,'Smelter Look-up'!$E:$E,0)))</f>
        <v/>
      </c>
      <c r="C521" s="179" t="str">
        <f>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75"/>
        <v/>
      </c>
      <c r="T521" s="174" t="str">
        <f ca="1">IF(B521="","",IF(ISERROR(MATCH($J521,SorP!$B$1:$B$6279,0)),"",INDIRECT("'SorP'!$A$"&amp;MATCH($S521&amp;$J521,SorP!C:C,0))))</f>
        <v/>
      </c>
      <c r="U521" s="194"/>
      <c r="V521" s="218" t="e">
        <f>IF(C521="",NA(),IF(OR(C521="Smelter not listed",C521="Smelter not yet identified"),MATCH($B521&amp;$D521,'Smelter Look-up'!$J:$J,0),MATCH($B521&amp;$C521,'Smelter Look-up'!$J:$J,0)))</f>
        <v>#N/A</v>
      </c>
      <c r="X521" s="219">
        <f t="shared" ca="1" si="76"/>
        <v>0</v>
      </c>
      <c r="AB521" s="220" t="str">
        <f t="shared" si="77"/>
        <v/>
      </c>
    </row>
    <row r="522" spans="1:28" s="219" customFormat="1" ht="20.25">
      <c r="A522" s="174"/>
      <c r="B522" s="175" t="str">
        <f>IF(LEN(A522)=0,"",INDEX('Smelter Look-up'!$A:$A,MATCH($A522,'Smelter Look-up'!$E:$E,0)))</f>
        <v/>
      </c>
      <c r="C522" s="179" t="str">
        <f>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75"/>
        <v/>
      </c>
      <c r="T522" s="174" t="str">
        <f ca="1">IF(B522="","",IF(ISERROR(MATCH($J522,SorP!$B$1:$B$6279,0)),"",INDIRECT("'SorP'!$A$"&amp;MATCH($S522&amp;$J522,SorP!C:C,0))))</f>
        <v/>
      </c>
      <c r="U522" s="194"/>
      <c r="V522" s="218" t="e">
        <f>IF(C522="",NA(),IF(OR(C522="Smelter not listed",C522="Smelter not yet identified"),MATCH($B522&amp;$D522,'Smelter Look-up'!$J:$J,0),MATCH($B522&amp;$C522,'Smelter Look-up'!$J:$J,0)))</f>
        <v>#N/A</v>
      </c>
      <c r="X522" s="219">
        <f t="shared" ca="1" si="76"/>
        <v>0</v>
      </c>
      <c r="AB522" s="220" t="str">
        <f t="shared" si="77"/>
        <v/>
      </c>
    </row>
    <row r="523" spans="1:28" s="219" customFormat="1" ht="20.25">
      <c r="A523" s="174"/>
      <c r="B523" s="175" t="str">
        <f>IF(LEN(A523)=0,"",INDEX('Smelter Look-up'!$A:$A,MATCH($A523,'Smelter Look-up'!$E:$E,0)))</f>
        <v/>
      </c>
      <c r="C523" s="179" t="str">
        <f>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75"/>
        <v/>
      </c>
      <c r="T523" s="174" t="str">
        <f ca="1">IF(B523="","",IF(ISERROR(MATCH($J523,SorP!$B$1:$B$6279,0)),"",INDIRECT("'SorP'!$A$"&amp;MATCH($S523&amp;$J523,SorP!C:C,0))))</f>
        <v/>
      </c>
      <c r="U523" s="194"/>
      <c r="V523" s="218" t="e">
        <f>IF(C523="",NA(),IF(OR(C523="Smelter not listed",C523="Smelter not yet identified"),MATCH($B523&amp;$D523,'Smelter Look-up'!$J:$J,0),MATCH($B523&amp;$C523,'Smelter Look-up'!$J:$J,0)))</f>
        <v>#N/A</v>
      </c>
      <c r="X523" s="219">
        <f t="shared" ca="1" si="76"/>
        <v>0</v>
      </c>
      <c r="AB523" s="220" t="str">
        <f t="shared" si="77"/>
        <v/>
      </c>
    </row>
    <row r="524" spans="1:28" s="219" customFormat="1" ht="20.25">
      <c r="A524" s="174"/>
      <c r="B524" s="175" t="str">
        <f>IF(LEN(A524)=0,"",INDEX('Smelter Look-up'!$A:$A,MATCH($A524,'Smelter Look-up'!$E:$E,0)))</f>
        <v/>
      </c>
      <c r="C524" s="179" t="str">
        <f>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75"/>
        <v/>
      </c>
      <c r="T524" s="174" t="str">
        <f ca="1">IF(B524="","",IF(ISERROR(MATCH($J524,SorP!$B$1:$B$6279,0)),"",INDIRECT("'SorP'!$A$"&amp;MATCH($S524&amp;$J524,SorP!C:C,0))))</f>
        <v/>
      </c>
      <c r="U524" s="194"/>
      <c r="V524" s="218" t="e">
        <f>IF(C524="",NA(),IF(OR(C524="Smelter not listed",C524="Smelter not yet identified"),MATCH($B524&amp;$D524,'Smelter Look-up'!$J:$J,0),MATCH($B524&amp;$C524,'Smelter Look-up'!$J:$J,0)))</f>
        <v>#N/A</v>
      </c>
      <c r="X524" s="219">
        <f t="shared" ca="1" si="76"/>
        <v>0</v>
      </c>
      <c r="AB524" s="220" t="str">
        <f t="shared" si="77"/>
        <v/>
      </c>
    </row>
    <row r="525" spans="1:28" s="219" customFormat="1" ht="20.25">
      <c r="A525" s="174"/>
      <c r="B525" s="175" t="str">
        <f>IF(LEN(A525)=0,"",INDEX('Smelter Look-up'!$A:$A,MATCH($A525,'Smelter Look-up'!$E:$E,0)))</f>
        <v/>
      </c>
      <c r="C525" s="179" t="str">
        <f>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75"/>
        <v/>
      </c>
      <c r="T525" s="174" t="str">
        <f ca="1">IF(B525="","",IF(ISERROR(MATCH($J525,SorP!$B$1:$B$6279,0)),"",INDIRECT("'SorP'!$A$"&amp;MATCH($S525&amp;$J525,SorP!C:C,0))))</f>
        <v/>
      </c>
      <c r="U525" s="194"/>
      <c r="V525" s="218" t="e">
        <f>IF(C525="",NA(),IF(OR(C525="Smelter not listed",C525="Smelter not yet identified"),MATCH($B525&amp;$D525,'Smelter Look-up'!$J:$J,0),MATCH($B525&amp;$C525,'Smelter Look-up'!$J:$J,0)))</f>
        <v>#N/A</v>
      </c>
      <c r="X525" s="219">
        <f t="shared" ca="1" si="76"/>
        <v>0</v>
      </c>
      <c r="AB525" s="220" t="str">
        <f t="shared" si="77"/>
        <v/>
      </c>
    </row>
    <row r="526" spans="1:28" s="219" customFormat="1" ht="20.25">
      <c r="A526" s="174"/>
      <c r="B526" s="175" t="str">
        <f>IF(LEN(A526)=0,"",INDEX('Smelter Look-up'!$A:$A,MATCH($A526,'Smelter Look-up'!$E:$E,0)))</f>
        <v/>
      </c>
      <c r="C526" s="179" t="str">
        <f>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75"/>
        <v/>
      </c>
      <c r="T526" s="174" t="str">
        <f ca="1">IF(B526="","",IF(ISERROR(MATCH($J526,SorP!$B$1:$B$6279,0)),"",INDIRECT("'SorP'!$A$"&amp;MATCH($S526&amp;$J526,SorP!C:C,0))))</f>
        <v/>
      </c>
      <c r="U526" s="194"/>
      <c r="V526" s="218" t="e">
        <f>IF(C526="",NA(),IF(OR(C526="Smelter not listed",C526="Smelter not yet identified"),MATCH($B526&amp;$D526,'Smelter Look-up'!$J:$J,0),MATCH($B526&amp;$C526,'Smelter Look-up'!$J:$J,0)))</f>
        <v>#N/A</v>
      </c>
      <c r="X526" s="219">
        <f t="shared" ca="1" si="76"/>
        <v>0</v>
      </c>
      <c r="AB526" s="220" t="str">
        <f t="shared" si="77"/>
        <v/>
      </c>
    </row>
    <row r="527" spans="1:28" s="219" customFormat="1" ht="20.25">
      <c r="A527" s="174"/>
      <c r="B527" s="175" t="str">
        <f>IF(LEN(A527)=0,"",INDEX('Smelter Look-up'!$A:$A,MATCH($A527,'Smelter Look-up'!$E:$E,0)))</f>
        <v/>
      </c>
      <c r="C527" s="179" t="str">
        <f>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75"/>
        <v/>
      </c>
      <c r="T527" s="174" t="str">
        <f ca="1">IF(B527="","",IF(ISERROR(MATCH($J527,SorP!$B$1:$B$6279,0)),"",INDIRECT("'SorP'!$A$"&amp;MATCH($S527&amp;$J527,SorP!C:C,0))))</f>
        <v/>
      </c>
      <c r="U527" s="194"/>
      <c r="V527" s="218" t="e">
        <f>IF(C527="",NA(),IF(OR(C527="Smelter not listed",C527="Smelter not yet identified"),MATCH($B527&amp;$D527,'Smelter Look-up'!$J:$J,0),MATCH($B527&amp;$C527,'Smelter Look-up'!$J:$J,0)))</f>
        <v>#N/A</v>
      </c>
      <c r="X527" s="219">
        <f t="shared" ca="1" si="76"/>
        <v>0</v>
      </c>
      <c r="AB527" s="220" t="str">
        <f t="shared" si="77"/>
        <v/>
      </c>
    </row>
    <row r="528" spans="1:28" s="219" customFormat="1" ht="20.25">
      <c r="A528" s="174"/>
      <c r="B528" s="175" t="str">
        <f>IF(LEN(A528)=0,"",INDEX('Smelter Look-up'!$A:$A,MATCH($A528,'Smelter Look-up'!$E:$E,0)))</f>
        <v/>
      </c>
      <c r="C528" s="179" t="str">
        <f>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75"/>
        <v/>
      </c>
      <c r="T528" s="174" t="str">
        <f ca="1">IF(B528="","",IF(ISERROR(MATCH($J528,SorP!$B$1:$B$6279,0)),"",INDIRECT("'SorP'!$A$"&amp;MATCH($S528&amp;$J528,SorP!C:C,0))))</f>
        <v/>
      </c>
      <c r="U528" s="194"/>
      <c r="V528" s="218" t="e">
        <f>IF(C528="",NA(),IF(OR(C528="Smelter not listed",C528="Smelter not yet identified"),MATCH($B528&amp;$D528,'Smelter Look-up'!$J:$J,0),MATCH($B528&amp;$C528,'Smelter Look-up'!$J:$J,0)))</f>
        <v>#N/A</v>
      </c>
      <c r="X528" s="219">
        <f t="shared" ca="1" si="76"/>
        <v>0</v>
      </c>
      <c r="AB528" s="220" t="str">
        <f t="shared" si="77"/>
        <v/>
      </c>
    </row>
    <row r="529" spans="1:28" s="219" customFormat="1" ht="20.25">
      <c r="A529" s="174"/>
      <c r="B529" s="175" t="str">
        <f>IF(LEN(A529)=0,"",INDEX('Smelter Look-up'!$A:$A,MATCH($A529,'Smelter Look-up'!$E:$E,0)))</f>
        <v/>
      </c>
      <c r="C529" s="179" t="str">
        <f>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75"/>
        <v/>
      </c>
      <c r="T529" s="174" t="str">
        <f ca="1">IF(B529="","",IF(ISERROR(MATCH($J529,SorP!$B$1:$B$6279,0)),"",INDIRECT("'SorP'!$A$"&amp;MATCH($S529&amp;$J529,SorP!C:C,0))))</f>
        <v/>
      </c>
      <c r="U529" s="194"/>
      <c r="V529" s="218" t="e">
        <f>IF(C529="",NA(),IF(OR(C529="Smelter not listed",C529="Smelter not yet identified"),MATCH($B529&amp;$D529,'Smelter Look-up'!$J:$J,0),MATCH($B529&amp;$C529,'Smelter Look-up'!$J:$J,0)))</f>
        <v>#N/A</v>
      </c>
      <c r="X529" s="219">
        <f t="shared" ca="1" si="76"/>
        <v>0</v>
      </c>
      <c r="AB529" s="220" t="str">
        <f t="shared" si="77"/>
        <v/>
      </c>
    </row>
    <row r="530" spans="1:28" s="219" customFormat="1" ht="20.25">
      <c r="A530" s="174"/>
      <c r="B530" s="175" t="str">
        <f>IF(LEN(A530)=0,"",INDEX('Smelter Look-up'!$A:$A,MATCH($A530,'Smelter Look-up'!$E:$E,0)))</f>
        <v/>
      </c>
      <c r="C530" s="179" t="str">
        <f>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75"/>
        <v/>
      </c>
      <c r="T530" s="174" t="str">
        <f ca="1">IF(B530="","",IF(ISERROR(MATCH($J530,SorP!$B$1:$B$6279,0)),"",INDIRECT("'SorP'!$A$"&amp;MATCH($S530&amp;$J530,SorP!C:C,0))))</f>
        <v/>
      </c>
      <c r="U530" s="194"/>
      <c r="V530" s="218" t="e">
        <f>IF(C530="",NA(),IF(OR(C530="Smelter not listed",C530="Smelter not yet identified"),MATCH($B530&amp;$D530,'Smelter Look-up'!$J:$J,0),MATCH($B530&amp;$C530,'Smelter Look-up'!$J:$J,0)))</f>
        <v>#N/A</v>
      </c>
      <c r="X530" s="219">
        <f t="shared" ca="1" si="76"/>
        <v>0</v>
      </c>
      <c r="AB530" s="220" t="str">
        <f t="shared" si="77"/>
        <v/>
      </c>
    </row>
    <row r="531" spans="1:28" s="219" customFormat="1" ht="20.25">
      <c r="A531" s="174"/>
      <c r="B531" s="175" t="str">
        <f>IF(LEN(A531)=0,"",INDEX('Smelter Look-up'!$A:$A,MATCH($A531,'Smelter Look-up'!$E:$E,0)))</f>
        <v/>
      </c>
      <c r="C531" s="179" t="str">
        <f>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75"/>
        <v/>
      </c>
      <c r="T531" s="174" t="str">
        <f ca="1">IF(B531="","",IF(ISERROR(MATCH($J531,SorP!$B$1:$B$6279,0)),"",INDIRECT("'SorP'!$A$"&amp;MATCH($S531&amp;$J531,SorP!C:C,0))))</f>
        <v/>
      </c>
      <c r="U531" s="194"/>
      <c r="V531" s="218" t="e">
        <f>IF(C531="",NA(),IF(OR(C531="Smelter not listed",C531="Smelter not yet identified"),MATCH($B531&amp;$D531,'Smelter Look-up'!$J:$J,0),MATCH($B531&amp;$C531,'Smelter Look-up'!$J:$J,0)))</f>
        <v>#N/A</v>
      </c>
      <c r="X531" s="219">
        <f t="shared" ca="1" si="76"/>
        <v>0</v>
      </c>
      <c r="AB531" s="220" t="str">
        <f t="shared" si="77"/>
        <v/>
      </c>
    </row>
    <row r="532" spans="1:28" s="219" customFormat="1" ht="20.25">
      <c r="A532" s="174"/>
      <c r="B532" s="175" t="str">
        <f>IF(LEN(A532)=0,"",INDEX('Smelter Look-up'!$A:$A,MATCH($A532,'Smelter Look-up'!$E:$E,0)))</f>
        <v/>
      </c>
      <c r="C532" s="179" t="str">
        <f>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75"/>
        <v/>
      </c>
      <c r="T532" s="174" t="str">
        <f ca="1">IF(B532="","",IF(ISERROR(MATCH($J532,SorP!$B$1:$B$6279,0)),"",INDIRECT("'SorP'!$A$"&amp;MATCH($S532&amp;$J532,SorP!C:C,0))))</f>
        <v/>
      </c>
      <c r="U532" s="194"/>
      <c r="V532" s="218" t="e">
        <f>IF(C532="",NA(),IF(OR(C532="Smelter not listed",C532="Smelter not yet identified"),MATCH($B532&amp;$D532,'Smelter Look-up'!$J:$J,0),MATCH($B532&amp;$C532,'Smelter Look-up'!$J:$J,0)))</f>
        <v>#N/A</v>
      </c>
      <c r="X532" s="219">
        <f t="shared" ca="1" si="76"/>
        <v>0</v>
      </c>
      <c r="AB532" s="220" t="str">
        <f t="shared" si="77"/>
        <v/>
      </c>
    </row>
    <row r="533" spans="1:28" s="219" customFormat="1" ht="20.25">
      <c r="A533" s="174"/>
      <c r="B533" s="175" t="str">
        <f>IF(LEN(A533)=0,"",INDEX('Smelter Look-up'!$A:$A,MATCH($A533,'Smelter Look-up'!$E:$E,0)))</f>
        <v/>
      </c>
      <c r="C533" s="179" t="str">
        <f>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75"/>
        <v/>
      </c>
      <c r="T533" s="174" t="str">
        <f ca="1">IF(B533="","",IF(ISERROR(MATCH($J533,SorP!$B$1:$B$6279,0)),"",INDIRECT("'SorP'!$A$"&amp;MATCH($S533&amp;$J533,SorP!C:C,0))))</f>
        <v/>
      </c>
      <c r="U533" s="194"/>
      <c r="V533" s="218" t="e">
        <f>IF(C533="",NA(),IF(OR(C533="Smelter not listed",C533="Smelter not yet identified"),MATCH($B533&amp;$D533,'Smelter Look-up'!$J:$J,0),MATCH($B533&amp;$C533,'Smelter Look-up'!$J:$J,0)))</f>
        <v>#N/A</v>
      </c>
      <c r="X533" s="219">
        <f t="shared" ca="1" si="76"/>
        <v>0</v>
      </c>
      <c r="AB533" s="220" t="str">
        <f t="shared" si="77"/>
        <v/>
      </c>
    </row>
    <row r="534" spans="1:28" s="219" customFormat="1" ht="20.25">
      <c r="A534" s="174"/>
      <c r="B534" s="175" t="str">
        <f>IF(LEN(A534)=0,"",INDEX('Smelter Look-up'!$A:$A,MATCH($A534,'Smelter Look-up'!$E:$E,0)))</f>
        <v/>
      </c>
      <c r="C534" s="179" t="str">
        <f>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75"/>
        <v/>
      </c>
      <c r="T534" s="174" t="str">
        <f ca="1">IF(B534="","",IF(ISERROR(MATCH($J534,SorP!$B$1:$B$6279,0)),"",INDIRECT("'SorP'!$A$"&amp;MATCH($S534&amp;$J534,SorP!C:C,0))))</f>
        <v/>
      </c>
      <c r="U534" s="194"/>
      <c r="V534" s="218" t="e">
        <f>IF(C534="",NA(),IF(OR(C534="Smelter not listed",C534="Smelter not yet identified"),MATCH($B534&amp;$D534,'Smelter Look-up'!$J:$J,0),MATCH($B534&amp;$C534,'Smelter Look-up'!$J:$J,0)))</f>
        <v>#N/A</v>
      </c>
      <c r="X534" s="219">
        <f t="shared" ca="1" si="76"/>
        <v>0</v>
      </c>
      <c r="AB534" s="220" t="str">
        <f t="shared" si="77"/>
        <v/>
      </c>
    </row>
    <row r="535" spans="1:28" s="219" customFormat="1" ht="20.25">
      <c r="A535" s="174"/>
      <c r="B535" s="175" t="str">
        <f>IF(LEN(A535)=0,"",INDEX('Smelter Look-up'!$A:$A,MATCH($A535,'Smelter Look-up'!$E:$E,0)))</f>
        <v/>
      </c>
      <c r="C535" s="179" t="str">
        <f>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75"/>
        <v/>
      </c>
      <c r="T535" s="174" t="str">
        <f ca="1">IF(B535="","",IF(ISERROR(MATCH($J535,SorP!$B$1:$B$6279,0)),"",INDIRECT("'SorP'!$A$"&amp;MATCH($S535&amp;$J535,SorP!C:C,0))))</f>
        <v/>
      </c>
      <c r="U535" s="194"/>
      <c r="V535" s="218" t="e">
        <f>IF(C535="",NA(),IF(OR(C535="Smelter not listed",C535="Smelter not yet identified"),MATCH($B535&amp;$D535,'Smelter Look-up'!$J:$J,0),MATCH($B535&amp;$C535,'Smelter Look-up'!$J:$J,0)))</f>
        <v>#N/A</v>
      </c>
      <c r="X535" s="219">
        <f t="shared" ca="1" si="76"/>
        <v>0</v>
      </c>
      <c r="AB535" s="220" t="str">
        <f t="shared" si="77"/>
        <v/>
      </c>
    </row>
    <row r="536" spans="1:28" s="219" customFormat="1" ht="20.25">
      <c r="A536" s="174"/>
      <c r="B536" s="175" t="str">
        <f>IF(LEN(A536)=0,"",INDEX('Smelter Look-up'!$A:$A,MATCH($A536,'Smelter Look-up'!$E:$E,0)))</f>
        <v/>
      </c>
      <c r="C536" s="179" t="str">
        <f>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75"/>
        <v/>
      </c>
      <c r="T536" s="174" t="str">
        <f ca="1">IF(B536="","",IF(ISERROR(MATCH($J536,SorP!$B$1:$B$6279,0)),"",INDIRECT("'SorP'!$A$"&amp;MATCH($S536&amp;$J536,SorP!C:C,0))))</f>
        <v/>
      </c>
      <c r="U536" s="194"/>
      <c r="V536" s="218" t="e">
        <f>IF(C536="",NA(),IF(OR(C536="Smelter not listed",C536="Smelter not yet identified"),MATCH($B536&amp;$D536,'Smelter Look-up'!$J:$J,0),MATCH($B536&amp;$C536,'Smelter Look-up'!$J:$J,0)))</f>
        <v>#N/A</v>
      </c>
      <c r="X536" s="219">
        <f t="shared" ca="1" si="76"/>
        <v>0</v>
      </c>
      <c r="AB536" s="220" t="str">
        <f t="shared" si="77"/>
        <v/>
      </c>
    </row>
    <row r="537" spans="1:28" s="219" customFormat="1" ht="20.25">
      <c r="A537" s="174"/>
      <c r="B537" s="175" t="str">
        <f>IF(LEN(A537)=0,"",INDEX('Smelter Look-up'!$A:$A,MATCH($A537,'Smelter Look-up'!$E:$E,0)))</f>
        <v/>
      </c>
      <c r="C537" s="179" t="str">
        <f>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75"/>
        <v/>
      </c>
      <c r="T537" s="174" t="str">
        <f ca="1">IF(B537="","",IF(ISERROR(MATCH($J537,SorP!$B$1:$B$6279,0)),"",INDIRECT("'SorP'!$A$"&amp;MATCH($S537&amp;$J537,SorP!C:C,0))))</f>
        <v/>
      </c>
      <c r="U537" s="194"/>
      <c r="V537" s="218" t="e">
        <f>IF(C537="",NA(),IF(OR(C537="Smelter not listed",C537="Smelter not yet identified"),MATCH($B537&amp;$D537,'Smelter Look-up'!$J:$J,0),MATCH($B537&amp;$C537,'Smelter Look-up'!$J:$J,0)))</f>
        <v>#N/A</v>
      </c>
      <c r="X537" s="219">
        <f t="shared" ca="1" si="76"/>
        <v>0</v>
      </c>
      <c r="AB537" s="220" t="str">
        <f t="shared" si="77"/>
        <v/>
      </c>
    </row>
    <row r="538" spans="1:28" s="219" customFormat="1" ht="20.25">
      <c r="A538" s="174"/>
      <c r="B538" s="175" t="str">
        <f>IF(LEN(A538)=0,"",INDEX('Smelter Look-up'!$A:$A,MATCH($A538,'Smelter Look-up'!$E:$E,0)))</f>
        <v/>
      </c>
      <c r="C538" s="179" t="str">
        <f>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75"/>
        <v/>
      </c>
      <c r="T538" s="174" t="str">
        <f ca="1">IF(B538="","",IF(ISERROR(MATCH($J538,SorP!$B$1:$B$6279,0)),"",INDIRECT("'SorP'!$A$"&amp;MATCH($S538&amp;$J538,SorP!C:C,0))))</f>
        <v/>
      </c>
      <c r="U538" s="194"/>
      <c r="V538" s="218" t="e">
        <f>IF(C538="",NA(),IF(OR(C538="Smelter not listed",C538="Smelter not yet identified"),MATCH($B538&amp;$D538,'Smelter Look-up'!$J:$J,0),MATCH($B538&amp;$C538,'Smelter Look-up'!$J:$J,0)))</f>
        <v>#N/A</v>
      </c>
      <c r="X538" s="219">
        <f t="shared" ca="1" si="76"/>
        <v>0</v>
      </c>
      <c r="AB538" s="220" t="str">
        <f t="shared" si="77"/>
        <v/>
      </c>
    </row>
    <row r="539" spans="1:28" s="219" customFormat="1" ht="20.25">
      <c r="A539" s="174"/>
      <c r="B539" s="175" t="str">
        <f>IF(LEN(A539)=0,"",INDEX('Smelter Look-up'!$A:$A,MATCH($A539,'Smelter Look-up'!$E:$E,0)))</f>
        <v/>
      </c>
      <c r="C539" s="179" t="str">
        <f>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75"/>
        <v/>
      </c>
      <c r="T539" s="174" t="str">
        <f ca="1">IF(B539="","",IF(ISERROR(MATCH($J539,SorP!$B$1:$B$6279,0)),"",INDIRECT("'SorP'!$A$"&amp;MATCH($S539&amp;$J539,SorP!C:C,0))))</f>
        <v/>
      </c>
      <c r="U539" s="194"/>
      <c r="V539" s="218" t="e">
        <f>IF(C539="",NA(),IF(OR(C539="Smelter not listed",C539="Smelter not yet identified"),MATCH($B539&amp;$D539,'Smelter Look-up'!$J:$J,0),MATCH($B539&amp;$C539,'Smelter Look-up'!$J:$J,0)))</f>
        <v>#N/A</v>
      </c>
      <c r="X539" s="219">
        <f t="shared" ca="1" si="76"/>
        <v>0</v>
      </c>
      <c r="AB539" s="220" t="str">
        <f t="shared" si="77"/>
        <v/>
      </c>
    </row>
    <row r="540" spans="1:28" s="219" customFormat="1" ht="20.25">
      <c r="A540" s="174"/>
      <c r="B540" s="175" t="str">
        <f>IF(LEN(A540)=0,"",INDEX('Smelter Look-up'!$A:$A,MATCH($A540,'Smelter Look-up'!$E:$E,0)))</f>
        <v/>
      </c>
      <c r="C540" s="179" t="str">
        <f>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75"/>
        <v/>
      </c>
      <c r="T540" s="174" t="str">
        <f ca="1">IF(B540="","",IF(ISERROR(MATCH($J540,SorP!$B$1:$B$6279,0)),"",INDIRECT("'SorP'!$A$"&amp;MATCH($S540&amp;$J540,SorP!C:C,0))))</f>
        <v/>
      </c>
      <c r="U540" s="194"/>
      <c r="V540" s="218" t="e">
        <f>IF(C540="",NA(),IF(OR(C540="Smelter not listed",C540="Smelter not yet identified"),MATCH($B540&amp;$D540,'Smelter Look-up'!$J:$J,0),MATCH($B540&amp;$C540,'Smelter Look-up'!$J:$J,0)))</f>
        <v>#N/A</v>
      </c>
      <c r="X540" s="219">
        <f t="shared" ca="1" si="76"/>
        <v>0</v>
      </c>
      <c r="AB540" s="220" t="str">
        <f t="shared" si="77"/>
        <v/>
      </c>
    </row>
    <row r="541" spans="1:28" s="219" customFormat="1" ht="20.25">
      <c r="A541" s="174"/>
      <c r="B541" s="175" t="str">
        <f>IF(LEN(A541)=0,"",INDEX('Smelter Look-up'!$A:$A,MATCH($A541,'Smelter Look-up'!$E:$E,0)))</f>
        <v/>
      </c>
      <c r="C541" s="179" t="str">
        <f>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75"/>
        <v/>
      </c>
      <c r="T541" s="174" t="str">
        <f ca="1">IF(B541="","",IF(ISERROR(MATCH($J541,SorP!$B$1:$B$6279,0)),"",INDIRECT("'SorP'!$A$"&amp;MATCH($S541&amp;$J541,SorP!C:C,0))))</f>
        <v/>
      </c>
      <c r="U541" s="194"/>
      <c r="V541" s="218" t="e">
        <f>IF(C541="",NA(),IF(OR(C541="Smelter not listed",C541="Smelter not yet identified"),MATCH($B541&amp;$D541,'Smelter Look-up'!$J:$J,0),MATCH($B541&amp;$C541,'Smelter Look-up'!$J:$J,0)))</f>
        <v>#N/A</v>
      </c>
      <c r="X541" s="219">
        <f t="shared" ca="1" si="76"/>
        <v>0</v>
      </c>
      <c r="AB541" s="220" t="str">
        <f t="shared" si="77"/>
        <v/>
      </c>
    </row>
    <row r="542" spans="1:28" s="219" customFormat="1" ht="20.25">
      <c r="A542" s="174"/>
      <c r="B542" s="175" t="str">
        <f>IF(LEN(A542)=0,"",INDEX('Smelter Look-up'!$A:$A,MATCH($A542,'Smelter Look-up'!$E:$E,0)))</f>
        <v/>
      </c>
      <c r="C542" s="179" t="str">
        <f>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75"/>
        <v/>
      </c>
      <c r="T542" s="174" t="str">
        <f ca="1">IF(B542="","",IF(ISERROR(MATCH($J542,SorP!$B$1:$B$6279,0)),"",INDIRECT("'SorP'!$A$"&amp;MATCH($S542&amp;$J542,SorP!C:C,0))))</f>
        <v/>
      </c>
      <c r="U542" s="194"/>
      <c r="V542" s="218" t="e">
        <f>IF(C542="",NA(),IF(OR(C542="Smelter not listed",C542="Smelter not yet identified"),MATCH($B542&amp;$D542,'Smelter Look-up'!$J:$J,0),MATCH($B542&amp;$C542,'Smelter Look-up'!$J:$J,0)))</f>
        <v>#N/A</v>
      </c>
      <c r="X542" s="219">
        <f t="shared" ca="1" si="76"/>
        <v>0</v>
      </c>
      <c r="AB542" s="220" t="str">
        <f t="shared" si="77"/>
        <v/>
      </c>
    </row>
    <row r="543" spans="1:28" s="219" customFormat="1" ht="20.25">
      <c r="A543" s="174"/>
      <c r="B543" s="175" t="str">
        <f>IF(LEN(A543)=0,"",INDEX('Smelter Look-up'!$A:$A,MATCH($A543,'Smelter Look-up'!$E:$E,0)))</f>
        <v/>
      </c>
      <c r="C543" s="179" t="str">
        <f>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75"/>
        <v/>
      </c>
      <c r="T543" s="174" t="str">
        <f ca="1">IF(B543="","",IF(ISERROR(MATCH($J543,SorP!$B$1:$B$6279,0)),"",INDIRECT("'SorP'!$A$"&amp;MATCH($S543&amp;$J543,SorP!C:C,0))))</f>
        <v/>
      </c>
      <c r="U543" s="194"/>
      <c r="V543" s="218" t="e">
        <f>IF(C543="",NA(),IF(OR(C543="Smelter not listed",C543="Smelter not yet identified"),MATCH($B543&amp;$D543,'Smelter Look-up'!$J:$J,0),MATCH($B543&amp;$C543,'Smelter Look-up'!$J:$J,0)))</f>
        <v>#N/A</v>
      </c>
      <c r="X543" s="219">
        <f t="shared" ca="1" si="76"/>
        <v>0</v>
      </c>
      <c r="AB543" s="220" t="str">
        <f t="shared" si="77"/>
        <v/>
      </c>
    </row>
    <row r="544" spans="1:28" s="219" customFormat="1" ht="20.25">
      <c r="A544" s="174"/>
      <c r="B544" s="175" t="str">
        <f>IF(LEN(A544)=0,"",INDEX('Smelter Look-up'!$A:$A,MATCH($A544,'Smelter Look-up'!$E:$E,0)))</f>
        <v/>
      </c>
      <c r="C544" s="179" t="str">
        <f>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75"/>
        <v/>
      </c>
      <c r="T544" s="174" t="str">
        <f ca="1">IF(B544="","",IF(ISERROR(MATCH($J544,SorP!$B$1:$B$6279,0)),"",INDIRECT("'SorP'!$A$"&amp;MATCH($S544&amp;$J544,SorP!C:C,0))))</f>
        <v/>
      </c>
      <c r="U544" s="194"/>
      <c r="V544" s="218" t="e">
        <f>IF(C544="",NA(),IF(OR(C544="Smelter not listed",C544="Smelter not yet identified"),MATCH($B544&amp;$D544,'Smelter Look-up'!$J:$J,0),MATCH($B544&amp;$C544,'Smelter Look-up'!$J:$J,0)))</f>
        <v>#N/A</v>
      </c>
      <c r="X544" s="219">
        <f t="shared" ca="1" si="76"/>
        <v>0</v>
      </c>
      <c r="AB544" s="220" t="str">
        <f t="shared" si="77"/>
        <v/>
      </c>
    </row>
    <row r="545" spans="1:28" s="219" customFormat="1" ht="20.25">
      <c r="A545" s="174"/>
      <c r="B545" s="175" t="str">
        <f>IF(LEN(A545)=0,"",INDEX('Smelter Look-up'!$A:$A,MATCH($A545,'Smelter Look-up'!$E:$E,0)))</f>
        <v/>
      </c>
      <c r="C545" s="179" t="str">
        <f>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75"/>
        <v/>
      </c>
      <c r="T545" s="174" t="str">
        <f ca="1">IF(B545="","",IF(ISERROR(MATCH($J545,SorP!$B$1:$B$6279,0)),"",INDIRECT("'SorP'!$A$"&amp;MATCH($S545&amp;$J545,SorP!C:C,0))))</f>
        <v/>
      </c>
      <c r="U545" s="194"/>
      <c r="V545" s="218" t="e">
        <f>IF(C545="",NA(),IF(OR(C545="Smelter not listed",C545="Smelter not yet identified"),MATCH($B545&amp;$D545,'Smelter Look-up'!$J:$J,0),MATCH($B545&amp;$C545,'Smelter Look-up'!$J:$J,0)))</f>
        <v>#N/A</v>
      </c>
      <c r="X545" s="219">
        <f t="shared" ca="1" si="76"/>
        <v>0</v>
      </c>
      <c r="AB545" s="220" t="str">
        <f t="shared" si="77"/>
        <v/>
      </c>
    </row>
    <row r="546" spans="1:28" s="219" customFormat="1" ht="20.25">
      <c r="A546" s="174"/>
      <c r="B546" s="175" t="str">
        <f>IF(LEN(A546)=0,"",INDEX('Smelter Look-up'!$A:$A,MATCH($A546,'Smelter Look-up'!$E:$E,0)))</f>
        <v/>
      </c>
      <c r="C546" s="179" t="str">
        <f>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75"/>
        <v/>
      </c>
      <c r="T546" s="174" t="str">
        <f ca="1">IF(B546="","",IF(ISERROR(MATCH($J546,SorP!$B$1:$B$6279,0)),"",INDIRECT("'SorP'!$A$"&amp;MATCH($S546&amp;$J546,SorP!C:C,0))))</f>
        <v/>
      </c>
      <c r="U546" s="194"/>
      <c r="V546" s="218" t="e">
        <f>IF(C546="",NA(),IF(OR(C546="Smelter not listed",C546="Smelter not yet identified"),MATCH($B546&amp;$D546,'Smelter Look-up'!$J:$J,0),MATCH($B546&amp;$C546,'Smelter Look-up'!$J:$J,0)))</f>
        <v>#N/A</v>
      </c>
      <c r="X546" s="219">
        <f t="shared" ca="1" si="76"/>
        <v>0</v>
      </c>
      <c r="AB546" s="220" t="str">
        <f t="shared" si="77"/>
        <v/>
      </c>
    </row>
    <row r="547" spans="1:28" s="219" customFormat="1" ht="20.25">
      <c r="A547" s="174"/>
      <c r="B547" s="175" t="str">
        <f>IF(LEN(A547)=0,"",INDEX('Smelter Look-up'!$A:$A,MATCH($A547,'Smelter Look-up'!$E:$E,0)))</f>
        <v/>
      </c>
      <c r="C547" s="179" t="str">
        <f>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75"/>
        <v/>
      </c>
      <c r="T547" s="174" t="str">
        <f ca="1">IF(B547="","",IF(ISERROR(MATCH($J547,SorP!$B$1:$B$6279,0)),"",INDIRECT("'SorP'!$A$"&amp;MATCH($S547&amp;$J547,SorP!C:C,0))))</f>
        <v/>
      </c>
      <c r="U547" s="194"/>
      <c r="V547" s="218" t="e">
        <f>IF(C547="",NA(),IF(OR(C547="Smelter not listed",C547="Smelter not yet identified"),MATCH($B547&amp;$D547,'Smelter Look-up'!$J:$J,0),MATCH($B547&amp;$C547,'Smelter Look-up'!$J:$J,0)))</f>
        <v>#N/A</v>
      </c>
      <c r="X547" s="219">
        <f t="shared" ca="1" si="76"/>
        <v>0</v>
      </c>
      <c r="AB547" s="220" t="str">
        <f t="shared" si="77"/>
        <v/>
      </c>
    </row>
    <row r="548" spans="1:28" s="219" customFormat="1" ht="20.25">
      <c r="A548" s="174"/>
      <c r="B548" s="175" t="str">
        <f>IF(LEN(A548)=0,"",INDEX('Smelter Look-up'!$A:$A,MATCH($A548,'Smelter Look-up'!$E:$E,0)))</f>
        <v/>
      </c>
      <c r="C548" s="179" t="str">
        <f>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75"/>
        <v/>
      </c>
      <c r="T548" s="174" t="str">
        <f ca="1">IF(B548="","",IF(ISERROR(MATCH($J548,SorP!$B$1:$B$6279,0)),"",INDIRECT("'SorP'!$A$"&amp;MATCH($S548&amp;$J548,SorP!C:C,0))))</f>
        <v/>
      </c>
      <c r="U548" s="194"/>
      <c r="V548" s="218" t="e">
        <f>IF(C548="",NA(),IF(OR(C548="Smelter not listed",C548="Smelter not yet identified"),MATCH($B548&amp;$D548,'Smelter Look-up'!$J:$J,0),MATCH($B548&amp;$C548,'Smelter Look-up'!$J:$J,0)))</f>
        <v>#N/A</v>
      </c>
      <c r="X548" s="219">
        <f t="shared" ca="1" si="76"/>
        <v>0</v>
      </c>
      <c r="AB548" s="220" t="str">
        <f t="shared" si="77"/>
        <v/>
      </c>
    </row>
    <row r="549" spans="1:28" s="219" customFormat="1" ht="20.25">
      <c r="A549" s="174"/>
      <c r="B549" s="175" t="str">
        <f>IF(LEN(A549)=0,"",INDEX('Smelter Look-up'!$A:$A,MATCH($A549,'Smelter Look-up'!$E:$E,0)))</f>
        <v/>
      </c>
      <c r="C549" s="179" t="str">
        <f>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75"/>
        <v/>
      </c>
      <c r="T549" s="174" t="str">
        <f ca="1">IF(B549="","",IF(ISERROR(MATCH($J549,SorP!$B$1:$B$6279,0)),"",INDIRECT("'SorP'!$A$"&amp;MATCH($S549&amp;$J549,SorP!C:C,0))))</f>
        <v/>
      </c>
      <c r="U549" s="194"/>
      <c r="V549" s="218" t="e">
        <f>IF(C549="",NA(),IF(OR(C549="Smelter not listed",C549="Smelter not yet identified"),MATCH($B549&amp;$D549,'Smelter Look-up'!$J:$J,0),MATCH($B549&amp;$C549,'Smelter Look-up'!$J:$J,0)))</f>
        <v>#N/A</v>
      </c>
      <c r="X549" s="219">
        <f t="shared" ca="1" si="76"/>
        <v>0</v>
      </c>
      <c r="AB549" s="220" t="str">
        <f t="shared" si="77"/>
        <v/>
      </c>
    </row>
    <row r="550" spans="1:28" s="219" customFormat="1" ht="20.25">
      <c r="A550" s="174"/>
      <c r="B550" s="175" t="str">
        <f>IF(LEN(A550)=0,"",INDEX('Smelter Look-up'!$A:$A,MATCH($A550,'Smelter Look-up'!$E:$E,0)))</f>
        <v/>
      </c>
      <c r="C550" s="179" t="str">
        <f>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ref="S550:S580" ca="1" si="78">IF(B550="","",IF(ISERROR(MATCH($E550,CL,0)),"Unknown",INDIRECT("'C'!$A$"&amp;MATCH($E550,CL,0)+1)))</f>
        <v/>
      </c>
      <c r="T550" s="174" t="str">
        <f ca="1">IF(B550="","",IF(ISERROR(MATCH($J550,SorP!$B$1:$B$6279,0)),"",INDIRECT("'SorP'!$A$"&amp;MATCH($S550&amp;$J550,SorP!C:C,0))))</f>
        <v/>
      </c>
      <c r="U550" s="194"/>
      <c r="V550" s="218" t="e">
        <f>IF(C550="",NA(),IF(OR(C550="Smelter not listed",C550="Smelter not yet identified"),MATCH($B550&amp;$D550,'Smelter Look-up'!$J:$J,0),MATCH($B550&amp;$C550,'Smelter Look-up'!$J:$J,0)))</f>
        <v>#N/A</v>
      </c>
      <c r="X550" s="219">
        <f t="shared" ref="X550:X580" ca="1" si="79">IF(AND(C550="Smelter not listed",OR(LEN(D550)=0,LEN(E550)=0)),1,0)</f>
        <v>0</v>
      </c>
      <c r="AB550" s="220" t="str">
        <f t="shared" ref="AB550:AB580" si="80">B550&amp;C550</f>
        <v/>
      </c>
    </row>
    <row r="551" spans="1:28" s="219" customFormat="1" ht="20.25">
      <c r="A551" s="174"/>
      <c r="B551" s="175" t="str">
        <f>IF(LEN(A551)=0,"",INDEX('Smelter Look-up'!$A:$A,MATCH($A551,'Smelter Look-up'!$E:$E,0)))</f>
        <v/>
      </c>
      <c r="C551" s="179" t="str">
        <f>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78"/>
        <v/>
      </c>
      <c r="T551" s="174" t="str">
        <f ca="1">IF(B551="","",IF(ISERROR(MATCH($J551,SorP!$B$1:$B$6279,0)),"",INDIRECT("'SorP'!$A$"&amp;MATCH($S551&amp;$J551,SorP!C:C,0))))</f>
        <v/>
      </c>
      <c r="U551" s="194"/>
      <c r="V551" s="218" t="e">
        <f>IF(C551="",NA(),IF(OR(C551="Smelter not listed",C551="Smelter not yet identified"),MATCH($B551&amp;$D551,'Smelter Look-up'!$J:$J,0),MATCH($B551&amp;$C551,'Smelter Look-up'!$J:$J,0)))</f>
        <v>#N/A</v>
      </c>
      <c r="X551" s="219">
        <f t="shared" ca="1" si="79"/>
        <v>0</v>
      </c>
      <c r="AB551" s="220" t="str">
        <f t="shared" si="80"/>
        <v/>
      </c>
    </row>
    <row r="552" spans="1:28" s="219" customFormat="1" ht="20.25">
      <c r="A552" s="174"/>
      <c r="B552" s="175" t="str">
        <f>IF(LEN(A552)=0,"",INDEX('Smelter Look-up'!$A:$A,MATCH($A552,'Smelter Look-up'!$E:$E,0)))</f>
        <v/>
      </c>
      <c r="C552" s="179" t="str">
        <f>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78"/>
        <v/>
      </c>
      <c r="T552" s="174" t="str">
        <f ca="1">IF(B552="","",IF(ISERROR(MATCH($J552,SorP!$B$1:$B$6279,0)),"",INDIRECT("'SorP'!$A$"&amp;MATCH($S552&amp;$J552,SorP!C:C,0))))</f>
        <v/>
      </c>
      <c r="U552" s="194"/>
      <c r="V552" s="218" t="e">
        <f>IF(C552="",NA(),IF(OR(C552="Smelter not listed",C552="Smelter not yet identified"),MATCH($B552&amp;$D552,'Smelter Look-up'!$J:$J,0),MATCH($B552&amp;$C552,'Smelter Look-up'!$J:$J,0)))</f>
        <v>#N/A</v>
      </c>
      <c r="X552" s="219">
        <f t="shared" ca="1" si="79"/>
        <v>0</v>
      </c>
      <c r="AB552" s="220" t="str">
        <f t="shared" si="80"/>
        <v/>
      </c>
    </row>
    <row r="553" spans="1:28" s="219" customFormat="1" ht="20.25">
      <c r="A553" s="174"/>
      <c r="B553" s="175" t="str">
        <f>IF(LEN(A553)=0,"",INDEX('Smelter Look-up'!$A:$A,MATCH($A553,'Smelter Look-up'!$E:$E,0)))</f>
        <v/>
      </c>
      <c r="C553" s="179" t="str">
        <f>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78"/>
        <v/>
      </c>
      <c r="T553" s="174" t="str">
        <f ca="1">IF(B553="","",IF(ISERROR(MATCH($J553,SorP!$B$1:$B$6279,0)),"",INDIRECT("'SorP'!$A$"&amp;MATCH($S553&amp;$J553,SorP!C:C,0))))</f>
        <v/>
      </c>
      <c r="U553" s="194"/>
      <c r="V553" s="218" t="e">
        <f>IF(C553="",NA(),IF(OR(C553="Smelter not listed",C553="Smelter not yet identified"),MATCH($B553&amp;$D553,'Smelter Look-up'!$J:$J,0),MATCH($B553&amp;$C553,'Smelter Look-up'!$J:$J,0)))</f>
        <v>#N/A</v>
      </c>
      <c r="X553" s="219">
        <f t="shared" ca="1" si="79"/>
        <v>0</v>
      </c>
      <c r="AB553" s="220" t="str">
        <f t="shared" si="80"/>
        <v/>
      </c>
    </row>
    <row r="554" spans="1:28" s="219" customFormat="1" ht="20.25">
      <c r="A554" s="174"/>
      <c r="B554" s="175" t="str">
        <f>IF(LEN(A554)=0,"",INDEX('Smelter Look-up'!$A:$A,MATCH($A554,'Smelter Look-up'!$E:$E,0)))</f>
        <v/>
      </c>
      <c r="C554" s="179" t="str">
        <f>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78"/>
        <v/>
      </c>
      <c r="T554" s="174" t="str">
        <f ca="1">IF(B554="","",IF(ISERROR(MATCH($J554,SorP!$B$1:$B$6279,0)),"",INDIRECT("'SorP'!$A$"&amp;MATCH($S554&amp;$J554,SorP!C:C,0))))</f>
        <v/>
      </c>
      <c r="U554" s="194"/>
      <c r="V554" s="218" t="e">
        <f>IF(C554="",NA(),IF(OR(C554="Smelter not listed",C554="Smelter not yet identified"),MATCH($B554&amp;$D554,'Smelter Look-up'!$J:$J,0),MATCH($B554&amp;$C554,'Smelter Look-up'!$J:$J,0)))</f>
        <v>#N/A</v>
      </c>
      <c r="X554" s="219">
        <f t="shared" ca="1" si="79"/>
        <v>0</v>
      </c>
      <c r="AB554" s="220" t="str">
        <f t="shared" si="80"/>
        <v/>
      </c>
    </row>
    <row r="555" spans="1:28" s="219" customFormat="1" ht="20.25">
      <c r="A555" s="174"/>
      <c r="B555" s="175" t="str">
        <f>IF(LEN(A555)=0,"",INDEX('Smelter Look-up'!$A:$A,MATCH($A555,'Smelter Look-up'!$E:$E,0)))</f>
        <v/>
      </c>
      <c r="C555" s="179" t="str">
        <f>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78"/>
        <v/>
      </c>
      <c r="T555" s="174" t="str">
        <f ca="1">IF(B555="","",IF(ISERROR(MATCH($J555,SorP!$B$1:$B$6279,0)),"",INDIRECT("'SorP'!$A$"&amp;MATCH($S555&amp;$J555,SorP!C:C,0))))</f>
        <v/>
      </c>
      <c r="U555" s="194"/>
      <c r="V555" s="218" t="e">
        <f>IF(C555="",NA(),IF(OR(C555="Smelter not listed",C555="Smelter not yet identified"),MATCH($B555&amp;$D555,'Smelter Look-up'!$J:$J,0),MATCH($B555&amp;$C555,'Smelter Look-up'!$J:$J,0)))</f>
        <v>#N/A</v>
      </c>
      <c r="X555" s="219">
        <f t="shared" ca="1" si="79"/>
        <v>0</v>
      </c>
      <c r="AB555" s="220" t="str">
        <f t="shared" si="80"/>
        <v/>
      </c>
    </row>
    <row r="556" spans="1:28" s="219" customFormat="1" ht="20.25">
      <c r="A556" s="174"/>
      <c r="B556" s="175" t="str">
        <f>IF(LEN(A556)=0,"",INDEX('Smelter Look-up'!$A:$A,MATCH($A556,'Smelter Look-up'!$E:$E,0)))</f>
        <v/>
      </c>
      <c r="C556" s="179" t="str">
        <f>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78"/>
        <v/>
      </c>
      <c r="T556" s="174" t="str">
        <f ca="1">IF(B556="","",IF(ISERROR(MATCH($J556,SorP!$B$1:$B$6279,0)),"",INDIRECT("'SorP'!$A$"&amp;MATCH($S556&amp;$J556,SorP!C:C,0))))</f>
        <v/>
      </c>
      <c r="U556" s="194"/>
      <c r="V556" s="218" t="e">
        <f>IF(C556="",NA(),IF(OR(C556="Smelter not listed",C556="Smelter not yet identified"),MATCH($B556&amp;$D556,'Smelter Look-up'!$J:$J,0),MATCH($B556&amp;$C556,'Smelter Look-up'!$J:$J,0)))</f>
        <v>#N/A</v>
      </c>
      <c r="X556" s="219">
        <f t="shared" ca="1" si="79"/>
        <v>0</v>
      </c>
      <c r="AB556" s="220" t="str">
        <f t="shared" si="80"/>
        <v/>
      </c>
    </row>
    <row r="557" spans="1:28" s="219" customFormat="1" ht="20.25">
      <c r="A557" s="174"/>
      <c r="B557" s="175" t="str">
        <f>IF(LEN(A557)=0,"",INDEX('Smelter Look-up'!$A:$A,MATCH($A557,'Smelter Look-up'!$E:$E,0)))</f>
        <v/>
      </c>
      <c r="C557" s="179" t="str">
        <f>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78"/>
        <v/>
      </c>
      <c r="T557" s="174" t="str">
        <f ca="1">IF(B557="","",IF(ISERROR(MATCH($J557,SorP!$B$1:$B$6279,0)),"",INDIRECT("'SorP'!$A$"&amp;MATCH($S557&amp;$J557,SorP!C:C,0))))</f>
        <v/>
      </c>
      <c r="U557" s="194"/>
      <c r="V557" s="218" t="e">
        <f>IF(C557="",NA(),IF(OR(C557="Smelter not listed",C557="Smelter not yet identified"),MATCH($B557&amp;$D557,'Smelter Look-up'!$J:$J,0),MATCH($B557&amp;$C557,'Smelter Look-up'!$J:$J,0)))</f>
        <v>#N/A</v>
      </c>
      <c r="X557" s="219">
        <f t="shared" ca="1" si="79"/>
        <v>0</v>
      </c>
      <c r="AB557" s="220" t="str">
        <f t="shared" si="80"/>
        <v/>
      </c>
    </row>
    <row r="558" spans="1:28" s="219" customFormat="1" ht="20.25">
      <c r="A558" s="174"/>
      <c r="B558" s="175" t="str">
        <f>IF(LEN(A558)=0,"",INDEX('Smelter Look-up'!$A:$A,MATCH($A558,'Smelter Look-up'!$E:$E,0)))</f>
        <v/>
      </c>
      <c r="C558" s="179" t="str">
        <f>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78"/>
        <v/>
      </c>
      <c r="T558" s="174" t="str">
        <f ca="1">IF(B558="","",IF(ISERROR(MATCH($J558,SorP!$B$1:$B$6279,0)),"",INDIRECT("'SorP'!$A$"&amp;MATCH($S558&amp;$J558,SorP!C:C,0))))</f>
        <v/>
      </c>
      <c r="U558" s="194"/>
      <c r="V558" s="218" t="e">
        <f>IF(C558="",NA(),IF(OR(C558="Smelter not listed",C558="Smelter not yet identified"),MATCH($B558&amp;$D558,'Smelter Look-up'!$J:$J,0),MATCH($B558&amp;$C558,'Smelter Look-up'!$J:$J,0)))</f>
        <v>#N/A</v>
      </c>
      <c r="X558" s="219">
        <f t="shared" ca="1" si="79"/>
        <v>0</v>
      </c>
      <c r="AB558" s="220" t="str">
        <f t="shared" si="80"/>
        <v/>
      </c>
    </row>
    <row r="559" spans="1:28" s="219" customFormat="1" ht="20.25">
      <c r="A559" s="174"/>
      <c r="B559" s="175" t="str">
        <f>IF(LEN(A559)=0,"",INDEX('Smelter Look-up'!$A:$A,MATCH($A559,'Smelter Look-up'!$E:$E,0)))</f>
        <v/>
      </c>
      <c r="C559" s="179" t="str">
        <f>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78"/>
        <v/>
      </c>
      <c r="T559" s="174" t="str">
        <f ca="1">IF(B559="","",IF(ISERROR(MATCH($J559,SorP!$B$1:$B$6279,0)),"",INDIRECT("'SorP'!$A$"&amp;MATCH($S559&amp;$J559,SorP!C:C,0))))</f>
        <v/>
      </c>
      <c r="U559" s="194"/>
      <c r="V559" s="218" t="e">
        <f>IF(C559="",NA(),IF(OR(C559="Smelter not listed",C559="Smelter not yet identified"),MATCH($B559&amp;$D559,'Smelter Look-up'!$J:$J,0),MATCH($B559&amp;$C559,'Smelter Look-up'!$J:$J,0)))</f>
        <v>#N/A</v>
      </c>
      <c r="X559" s="219">
        <f t="shared" ca="1" si="79"/>
        <v>0</v>
      </c>
      <c r="AB559" s="220" t="str">
        <f t="shared" si="80"/>
        <v/>
      </c>
    </row>
    <row r="560" spans="1:28" s="219" customFormat="1" ht="20.25">
      <c r="A560" s="174"/>
      <c r="B560" s="175" t="str">
        <f>IF(LEN(A560)=0,"",INDEX('Smelter Look-up'!$A:$A,MATCH($A560,'Smelter Look-up'!$E:$E,0)))</f>
        <v/>
      </c>
      <c r="C560" s="179" t="str">
        <f>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78"/>
        <v/>
      </c>
      <c r="T560" s="174" t="str">
        <f ca="1">IF(B560="","",IF(ISERROR(MATCH($J560,SorP!$B$1:$B$6279,0)),"",INDIRECT("'SorP'!$A$"&amp;MATCH($S560&amp;$J560,SorP!C:C,0))))</f>
        <v/>
      </c>
      <c r="U560" s="194"/>
      <c r="V560" s="218" t="e">
        <f>IF(C560="",NA(),IF(OR(C560="Smelter not listed",C560="Smelter not yet identified"),MATCH($B560&amp;$D560,'Smelter Look-up'!$J:$J,0),MATCH($B560&amp;$C560,'Smelter Look-up'!$J:$J,0)))</f>
        <v>#N/A</v>
      </c>
      <c r="X560" s="219">
        <f t="shared" ca="1" si="79"/>
        <v>0</v>
      </c>
      <c r="AB560" s="220" t="str">
        <f t="shared" si="80"/>
        <v/>
      </c>
    </row>
    <row r="561" spans="1:28" s="219" customFormat="1" ht="20.25">
      <c r="A561" s="174"/>
      <c r="B561" s="175" t="str">
        <f>IF(LEN(A561)=0,"",INDEX('Smelter Look-up'!$A:$A,MATCH($A561,'Smelter Look-up'!$E:$E,0)))</f>
        <v/>
      </c>
      <c r="C561" s="179" t="str">
        <f>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78"/>
        <v/>
      </c>
      <c r="T561" s="174" t="str">
        <f ca="1">IF(B561="","",IF(ISERROR(MATCH($J561,SorP!$B$1:$B$6279,0)),"",INDIRECT("'SorP'!$A$"&amp;MATCH($S561&amp;$J561,SorP!C:C,0))))</f>
        <v/>
      </c>
      <c r="U561" s="194"/>
      <c r="V561" s="218" t="e">
        <f>IF(C561="",NA(),IF(OR(C561="Smelter not listed",C561="Smelter not yet identified"),MATCH($B561&amp;$D561,'Smelter Look-up'!$J:$J,0),MATCH($B561&amp;$C561,'Smelter Look-up'!$J:$J,0)))</f>
        <v>#N/A</v>
      </c>
      <c r="X561" s="219">
        <f t="shared" ca="1" si="79"/>
        <v>0</v>
      </c>
      <c r="AB561" s="220" t="str">
        <f t="shared" si="80"/>
        <v/>
      </c>
    </row>
    <row r="562" spans="1:28" s="219" customFormat="1" ht="20.25">
      <c r="A562" s="174"/>
      <c r="B562" s="175" t="str">
        <f>IF(LEN(A562)=0,"",INDEX('Smelter Look-up'!$A:$A,MATCH($A562,'Smelter Look-up'!$E:$E,0)))</f>
        <v/>
      </c>
      <c r="C562" s="179" t="str">
        <f>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78"/>
        <v/>
      </c>
      <c r="T562" s="174" t="str">
        <f ca="1">IF(B562="","",IF(ISERROR(MATCH($J562,SorP!$B$1:$B$6279,0)),"",INDIRECT("'SorP'!$A$"&amp;MATCH($S562&amp;$J562,SorP!C:C,0))))</f>
        <v/>
      </c>
      <c r="U562" s="194"/>
      <c r="V562" s="218" t="e">
        <f>IF(C562="",NA(),IF(OR(C562="Smelter not listed",C562="Smelter not yet identified"),MATCH($B562&amp;$D562,'Smelter Look-up'!$J:$J,0),MATCH($B562&amp;$C562,'Smelter Look-up'!$J:$J,0)))</f>
        <v>#N/A</v>
      </c>
      <c r="X562" s="219">
        <f t="shared" ca="1" si="79"/>
        <v>0</v>
      </c>
      <c r="AB562" s="220" t="str">
        <f t="shared" si="80"/>
        <v/>
      </c>
    </row>
    <row r="563" spans="1:28" s="219" customFormat="1" ht="20.25">
      <c r="A563" s="174"/>
      <c r="B563" s="175" t="str">
        <f>IF(LEN(A563)=0,"",INDEX('Smelter Look-up'!$A:$A,MATCH($A563,'Smelter Look-up'!$E:$E,0)))</f>
        <v/>
      </c>
      <c r="C563" s="179" t="str">
        <f>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78"/>
        <v/>
      </c>
      <c r="T563" s="174" t="str">
        <f ca="1">IF(B563="","",IF(ISERROR(MATCH($J563,SorP!$B$1:$B$6279,0)),"",INDIRECT("'SorP'!$A$"&amp;MATCH($S563&amp;$J563,SorP!C:C,0))))</f>
        <v/>
      </c>
      <c r="U563" s="194"/>
      <c r="V563" s="218" t="e">
        <f>IF(C563="",NA(),IF(OR(C563="Smelter not listed",C563="Smelter not yet identified"),MATCH($B563&amp;$D563,'Smelter Look-up'!$J:$J,0),MATCH($B563&amp;$C563,'Smelter Look-up'!$J:$J,0)))</f>
        <v>#N/A</v>
      </c>
      <c r="X563" s="219">
        <f t="shared" ca="1" si="79"/>
        <v>0</v>
      </c>
      <c r="AB563" s="220" t="str">
        <f t="shared" si="80"/>
        <v/>
      </c>
    </row>
    <row r="564" spans="1:28" s="219" customFormat="1" ht="20.25">
      <c r="A564" s="174"/>
      <c r="B564" s="175" t="str">
        <f>IF(LEN(A564)=0,"",INDEX('Smelter Look-up'!$A:$A,MATCH($A564,'Smelter Look-up'!$E:$E,0)))</f>
        <v/>
      </c>
      <c r="C564" s="179" t="str">
        <f>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78"/>
        <v/>
      </c>
      <c r="T564" s="174" t="str">
        <f ca="1">IF(B564="","",IF(ISERROR(MATCH($J564,SorP!$B$1:$B$6279,0)),"",INDIRECT("'SorP'!$A$"&amp;MATCH($S564&amp;$J564,SorP!C:C,0))))</f>
        <v/>
      </c>
      <c r="U564" s="194"/>
      <c r="V564" s="218" t="e">
        <f>IF(C564="",NA(),IF(OR(C564="Smelter not listed",C564="Smelter not yet identified"),MATCH($B564&amp;$D564,'Smelter Look-up'!$J:$J,0),MATCH($B564&amp;$C564,'Smelter Look-up'!$J:$J,0)))</f>
        <v>#N/A</v>
      </c>
      <c r="X564" s="219">
        <f t="shared" ca="1" si="79"/>
        <v>0</v>
      </c>
      <c r="AB564" s="220" t="str">
        <f t="shared" si="80"/>
        <v/>
      </c>
    </row>
    <row r="565" spans="1:28" s="219" customFormat="1" ht="20.25">
      <c r="A565" s="174"/>
      <c r="B565" s="175" t="str">
        <f>IF(LEN(A565)=0,"",INDEX('Smelter Look-up'!$A:$A,MATCH($A565,'Smelter Look-up'!$E:$E,0)))</f>
        <v/>
      </c>
      <c r="C565" s="179" t="str">
        <f>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78"/>
        <v/>
      </c>
      <c r="T565" s="174" t="str">
        <f ca="1">IF(B565="","",IF(ISERROR(MATCH($J565,SorP!$B$1:$B$6279,0)),"",INDIRECT("'SorP'!$A$"&amp;MATCH($S565&amp;$J565,SorP!C:C,0))))</f>
        <v/>
      </c>
      <c r="U565" s="194"/>
      <c r="V565" s="218" t="e">
        <f>IF(C565="",NA(),IF(OR(C565="Smelter not listed",C565="Smelter not yet identified"),MATCH($B565&amp;$D565,'Smelter Look-up'!$J:$J,0),MATCH($B565&amp;$C565,'Smelter Look-up'!$J:$J,0)))</f>
        <v>#N/A</v>
      </c>
      <c r="X565" s="219">
        <f t="shared" ca="1" si="79"/>
        <v>0</v>
      </c>
      <c r="AB565" s="220" t="str">
        <f t="shared" si="80"/>
        <v/>
      </c>
    </row>
    <row r="566" spans="1:28" s="219" customFormat="1" ht="20.25">
      <c r="A566" s="174"/>
      <c r="B566" s="175" t="str">
        <f>IF(LEN(A566)=0,"",INDEX('Smelter Look-up'!$A:$A,MATCH($A566,'Smelter Look-up'!$E:$E,0)))</f>
        <v/>
      </c>
      <c r="C566" s="179" t="str">
        <f>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78"/>
        <v/>
      </c>
      <c r="T566" s="174" t="str">
        <f ca="1">IF(B566="","",IF(ISERROR(MATCH($J566,SorP!$B$1:$B$6279,0)),"",INDIRECT("'SorP'!$A$"&amp;MATCH($S566&amp;$J566,SorP!C:C,0))))</f>
        <v/>
      </c>
      <c r="U566" s="194"/>
      <c r="V566" s="218" t="e">
        <f>IF(C566="",NA(),IF(OR(C566="Smelter not listed",C566="Smelter not yet identified"),MATCH($B566&amp;$D566,'Smelter Look-up'!$J:$J,0),MATCH($B566&amp;$C566,'Smelter Look-up'!$J:$J,0)))</f>
        <v>#N/A</v>
      </c>
      <c r="X566" s="219">
        <f t="shared" ca="1" si="79"/>
        <v>0</v>
      </c>
      <c r="AB566" s="220" t="str">
        <f t="shared" si="80"/>
        <v/>
      </c>
    </row>
    <row r="567" spans="1:28" s="219" customFormat="1" ht="20.25">
      <c r="A567" s="174"/>
      <c r="B567" s="175" t="str">
        <f>IF(LEN(A567)=0,"",INDEX('Smelter Look-up'!$A:$A,MATCH($A567,'Smelter Look-up'!$E:$E,0)))</f>
        <v/>
      </c>
      <c r="C567" s="179" t="str">
        <f>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78"/>
        <v/>
      </c>
      <c r="T567" s="174" t="str">
        <f ca="1">IF(B567="","",IF(ISERROR(MATCH($J567,SorP!$B$1:$B$6279,0)),"",INDIRECT("'SorP'!$A$"&amp;MATCH($S567&amp;$J567,SorP!C:C,0))))</f>
        <v/>
      </c>
      <c r="U567" s="194"/>
      <c r="V567" s="218" t="e">
        <f>IF(C567="",NA(),IF(OR(C567="Smelter not listed",C567="Smelter not yet identified"),MATCH($B567&amp;$D567,'Smelter Look-up'!$J:$J,0),MATCH($B567&amp;$C567,'Smelter Look-up'!$J:$J,0)))</f>
        <v>#N/A</v>
      </c>
      <c r="X567" s="219">
        <f t="shared" ca="1" si="79"/>
        <v>0</v>
      </c>
      <c r="AB567" s="220" t="str">
        <f t="shared" si="80"/>
        <v/>
      </c>
    </row>
    <row r="568" spans="1:28" s="219" customFormat="1" ht="20.25">
      <c r="A568" s="174"/>
      <c r="B568" s="175" t="str">
        <f>IF(LEN(A568)=0,"",INDEX('Smelter Look-up'!$A:$A,MATCH($A568,'Smelter Look-up'!$E:$E,0)))</f>
        <v/>
      </c>
      <c r="C568" s="179" t="str">
        <f>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78"/>
        <v/>
      </c>
      <c r="T568" s="174" t="str">
        <f ca="1">IF(B568="","",IF(ISERROR(MATCH($J568,SorP!$B$1:$B$6279,0)),"",INDIRECT("'SorP'!$A$"&amp;MATCH($S568&amp;$J568,SorP!C:C,0))))</f>
        <v/>
      </c>
      <c r="U568" s="194"/>
      <c r="V568" s="218" t="e">
        <f>IF(C568="",NA(),IF(OR(C568="Smelter not listed",C568="Smelter not yet identified"),MATCH($B568&amp;$D568,'Smelter Look-up'!$J:$J,0),MATCH($B568&amp;$C568,'Smelter Look-up'!$J:$J,0)))</f>
        <v>#N/A</v>
      </c>
      <c r="X568" s="219">
        <f t="shared" ca="1" si="79"/>
        <v>0</v>
      </c>
      <c r="AB568" s="220" t="str">
        <f t="shared" si="80"/>
        <v/>
      </c>
    </row>
    <row r="569" spans="1:28" s="219" customFormat="1" ht="20.25">
      <c r="A569" s="174"/>
      <c r="B569" s="175" t="str">
        <f>IF(LEN(A569)=0,"",INDEX('Smelter Look-up'!$A:$A,MATCH($A569,'Smelter Look-up'!$E:$E,0)))</f>
        <v/>
      </c>
      <c r="C569" s="179" t="str">
        <f>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78"/>
        <v/>
      </c>
      <c r="T569" s="174" t="str">
        <f ca="1">IF(B569="","",IF(ISERROR(MATCH($J569,SorP!$B$1:$B$6279,0)),"",INDIRECT("'SorP'!$A$"&amp;MATCH($S569&amp;$J569,SorP!C:C,0))))</f>
        <v/>
      </c>
      <c r="U569" s="194"/>
      <c r="V569" s="218" t="e">
        <f>IF(C569="",NA(),IF(OR(C569="Smelter not listed",C569="Smelter not yet identified"),MATCH($B569&amp;$D569,'Smelter Look-up'!$J:$J,0),MATCH($B569&amp;$C569,'Smelter Look-up'!$J:$J,0)))</f>
        <v>#N/A</v>
      </c>
      <c r="X569" s="219">
        <f t="shared" ca="1" si="79"/>
        <v>0</v>
      </c>
      <c r="AB569" s="220" t="str">
        <f t="shared" si="80"/>
        <v/>
      </c>
    </row>
    <row r="570" spans="1:28" s="219" customFormat="1" ht="20.25">
      <c r="A570" s="174"/>
      <c r="B570" s="175" t="str">
        <f>IF(LEN(A570)=0,"",INDEX('Smelter Look-up'!$A:$A,MATCH($A570,'Smelter Look-up'!$E:$E,0)))</f>
        <v/>
      </c>
      <c r="C570" s="179" t="str">
        <f>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78"/>
        <v/>
      </c>
      <c r="T570" s="174" t="str">
        <f ca="1">IF(B570="","",IF(ISERROR(MATCH($J570,SorP!$B$1:$B$6279,0)),"",INDIRECT("'SorP'!$A$"&amp;MATCH($S570&amp;$J570,SorP!C:C,0))))</f>
        <v/>
      </c>
      <c r="U570" s="194"/>
      <c r="V570" s="218" t="e">
        <f>IF(C570="",NA(),IF(OR(C570="Smelter not listed",C570="Smelter not yet identified"),MATCH($B570&amp;$D570,'Smelter Look-up'!$J:$J,0),MATCH($B570&amp;$C570,'Smelter Look-up'!$J:$J,0)))</f>
        <v>#N/A</v>
      </c>
      <c r="X570" s="219">
        <f t="shared" ca="1" si="79"/>
        <v>0</v>
      </c>
      <c r="AB570" s="220" t="str">
        <f t="shared" si="80"/>
        <v/>
      </c>
    </row>
    <row r="571" spans="1:28" s="219" customFormat="1" ht="20.25">
      <c r="A571" s="174"/>
      <c r="B571" s="175" t="str">
        <f>IF(LEN(A571)=0,"",INDEX('Smelter Look-up'!$A:$A,MATCH($A571,'Smelter Look-up'!$E:$E,0)))</f>
        <v/>
      </c>
      <c r="C571" s="179" t="str">
        <f>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78"/>
        <v/>
      </c>
      <c r="T571" s="174" t="str">
        <f ca="1">IF(B571="","",IF(ISERROR(MATCH($J571,SorP!$B$1:$B$6279,0)),"",INDIRECT("'SorP'!$A$"&amp;MATCH($S571&amp;$J571,SorP!C:C,0))))</f>
        <v/>
      </c>
      <c r="U571" s="194"/>
      <c r="V571" s="218" t="e">
        <f>IF(C571="",NA(),IF(OR(C571="Smelter not listed",C571="Smelter not yet identified"),MATCH($B571&amp;$D571,'Smelter Look-up'!$J:$J,0),MATCH($B571&amp;$C571,'Smelter Look-up'!$J:$J,0)))</f>
        <v>#N/A</v>
      </c>
      <c r="X571" s="219">
        <f t="shared" ca="1" si="79"/>
        <v>0</v>
      </c>
      <c r="AB571" s="220" t="str">
        <f t="shared" si="80"/>
        <v/>
      </c>
    </row>
    <row r="572" spans="1:28" s="219" customFormat="1" ht="20.25">
      <c r="A572" s="174"/>
      <c r="B572" s="175" t="str">
        <f>IF(LEN(A572)=0,"",INDEX('Smelter Look-up'!$A:$A,MATCH($A572,'Smelter Look-up'!$E:$E,0)))</f>
        <v/>
      </c>
      <c r="C572" s="179" t="str">
        <f>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78"/>
        <v/>
      </c>
      <c r="T572" s="174" t="str">
        <f ca="1">IF(B572="","",IF(ISERROR(MATCH($J572,SorP!$B$1:$B$6279,0)),"",INDIRECT("'SorP'!$A$"&amp;MATCH($S572&amp;$J572,SorP!C:C,0))))</f>
        <v/>
      </c>
      <c r="U572" s="194"/>
      <c r="V572" s="218" t="e">
        <f>IF(C572="",NA(),IF(OR(C572="Smelter not listed",C572="Smelter not yet identified"),MATCH($B572&amp;$D572,'Smelter Look-up'!$J:$J,0),MATCH($B572&amp;$C572,'Smelter Look-up'!$J:$J,0)))</f>
        <v>#N/A</v>
      </c>
      <c r="X572" s="219">
        <f t="shared" ca="1" si="79"/>
        <v>0</v>
      </c>
      <c r="AB572" s="220" t="str">
        <f t="shared" si="80"/>
        <v/>
      </c>
    </row>
    <row r="573" spans="1:28" s="219" customFormat="1" ht="20.25">
      <c r="A573" s="174"/>
      <c r="B573" s="175" t="str">
        <f>IF(LEN(A573)=0,"",INDEX('Smelter Look-up'!$A:$A,MATCH($A573,'Smelter Look-up'!$E:$E,0)))</f>
        <v/>
      </c>
      <c r="C573" s="179" t="str">
        <f>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78"/>
        <v/>
      </c>
      <c r="T573" s="174" t="str">
        <f ca="1">IF(B573="","",IF(ISERROR(MATCH($J573,SorP!$B$1:$B$6279,0)),"",INDIRECT("'SorP'!$A$"&amp;MATCH($S573&amp;$J573,SorP!C:C,0))))</f>
        <v/>
      </c>
      <c r="U573" s="194"/>
      <c r="V573" s="218" t="e">
        <f>IF(C573="",NA(),IF(OR(C573="Smelter not listed",C573="Smelter not yet identified"),MATCH($B573&amp;$D573,'Smelter Look-up'!$J:$J,0),MATCH($B573&amp;$C573,'Smelter Look-up'!$J:$J,0)))</f>
        <v>#N/A</v>
      </c>
      <c r="X573" s="219">
        <f t="shared" ca="1" si="79"/>
        <v>0</v>
      </c>
      <c r="AB573" s="220" t="str">
        <f t="shared" si="80"/>
        <v/>
      </c>
    </row>
    <row r="574" spans="1:28" s="219" customFormat="1" ht="20.25">
      <c r="A574" s="174"/>
      <c r="B574" s="175" t="str">
        <f>IF(LEN(A574)=0,"",INDEX('Smelter Look-up'!$A:$A,MATCH($A574,'Smelter Look-up'!$E:$E,0)))</f>
        <v/>
      </c>
      <c r="C574" s="179" t="str">
        <f>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78"/>
        <v/>
      </c>
      <c r="T574" s="174" t="str">
        <f ca="1">IF(B574="","",IF(ISERROR(MATCH($J574,SorP!$B$1:$B$6279,0)),"",INDIRECT("'SorP'!$A$"&amp;MATCH($S574&amp;$J574,SorP!C:C,0))))</f>
        <v/>
      </c>
      <c r="U574" s="194"/>
      <c r="V574" s="218" t="e">
        <f>IF(C574="",NA(),IF(OR(C574="Smelter not listed",C574="Smelter not yet identified"),MATCH($B574&amp;$D574,'Smelter Look-up'!$J:$J,0),MATCH($B574&amp;$C574,'Smelter Look-up'!$J:$J,0)))</f>
        <v>#N/A</v>
      </c>
      <c r="X574" s="219">
        <f t="shared" ca="1" si="79"/>
        <v>0</v>
      </c>
      <c r="AB574" s="220" t="str">
        <f t="shared" si="80"/>
        <v/>
      </c>
    </row>
    <row r="575" spans="1:28" s="219" customFormat="1" ht="20.25">
      <c r="A575" s="174"/>
      <c r="B575" s="175" t="str">
        <f>IF(LEN(A575)=0,"",INDEX('Smelter Look-up'!$A:$A,MATCH($A575,'Smelter Look-up'!$E:$E,0)))</f>
        <v/>
      </c>
      <c r="C575" s="179" t="str">
        <f>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78"/>
        <v/>
      </c>
      <c r="T575" s="174" t="str">
        <f ca="1">IF(B575="","",IF(ISERROR(MATCH($J575,SorP!$B$1:$B$6279,0)),"",INDIRECT("'SorP'!$A$"&amp;MATCH($S575&amp;$J575,SorP!C:C,0))))</f>
        <v/>
      </c>
      <c r="U575" s="194"/>
      <c r="V575" s="218" t="e">
        <f>IF(C575="",NA(),IF(OR(C575="Smelter not listed",C575="Smelter not yet identified"),MATCH($B575&amp;$D575,'Smelter Look-up'!$J:$J,0),MATCH($B575&amp;$C575,'Smelter Look-up'!$J:$J,0)))</f>
        <v>#N/A</v>
      </c>
      <c r="X575" s="219">
        <f t="shared" ca="1" si="79"/>
        <v>0</v>
      </c>
      <c r="AB575" s="220" t="str">
        <f t="shared" si="80"/>
        <v/>
      </c>
    </row>
    <row r="576" spans="1:28" s="219" customFormat="1" ht="20.25">
      <c r="A576" s="174"/>
      <c r="B576" s="175" t="str">
        <f>IF(LEN(A576)=0,"",INDEX('Smelter Look-up'!$A:$A,MATCH($A576,'Smelter Look-up'!$E:$E,0)))</f>
        <v/>
      </c>
      <c r="C576" s="179" t="str">
        <f>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78"/>
        <v/>
      </c>
      <c r="T576" s="174" t="str">
        <f ca="1">IF(B576="","",IF(ISERROR(MATCH($J576,SorP!$B$1:$B$6279,0)),"",INDIRECT("'SorP'!$A$"&amp;MATCH($S576&amp;$J576,SorP!C:C,0))))</f>
        <v/>
      </c>
      <c r="U576" s="194"/>
      <c r="V576" s="218" t="e">
        <f>IF(C576="",NA(),IF(OR(C576="Smelter not listed",C576="Smelter not yet identified"),MATCH($B576&amp;$D576,'Smelter Look-up'!$J:$J,0),MATCH($B576&amp;$C576,'Smelter Look-up'!$J:$J,0)))</f>
        <v>#N/A</v>
      </c>
      <c r="X576" s="219">
        <f t="shared" ca="1" si="79"/>
        <v>0</v>
      </c>
      <c r="AB576" s="220" t="str">
        <f t="shared" si="80"/>
        <v/>
      </c>
    </row>
    <row r="577" spans="1:28" s="219" customFormat="1" ht="20.25">
      <c r="A577" s="174"/>
      <c r="B577" s="175" t="str">
        <f>IF(LEN(A577)=0,"",INDEX('Smelter Look-up'!$A:$A,MATCH($A577,'Smelter Look-up'!$E:$E,0)))</f>
        <v/>
      </c>
      <c r="C577" s="179" t="str">
        <f>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78"/>
        <v/>
      </c>
      <c r="T577" s="174" t="str">
        <f ca="1">IF(B577="","",IF(ISERROR(MATCH($J577,SorP!$B$1:$B$6279,0)),"",INDIRECT("'SorP'!$A$"&amp;MATCH($S577&amp;$J577,SorP!C:C,0))))</f>
        <v/>
      </c>
      <c r="U577" s="194"/>
      <c r="V577" s="218" t="e">
        <f>IF(C577="",NA(),IF(OR(C577="Smelter not listed",C577="Smelter not yet identified"),MATCH($B577&amp;$D577,'Smelter Look-up'!$J:$J,0),MATCH($B577&amp;$C577,'Smelter Look-up'!$J:$J,0)))</f>
        <v>#N/A</v>
      </c>
      <c r="X577" s="219">
        <f t="shared" ca="1" si="79"/>
        <v>0</v>
      </c>
      <c r="AB577" s="220" t="str">
        <f t="shared" si="80"/>
        <v/>
      </c>
    </row>
    <row r="578" spans="1:28" s="219" customFormat="1" ht="20.25">
      <c r="A578" s="174"/>
      <c r="B578" s="175" t="str">
        <f>IF(LEN(A578)=0,"",INDEX('Smelter Look-up'!$A:$A,MATCH($A578,'Smelter Look-up'!$E:$E,0)))</f>
        <v/>
      </c>
      <c r="C578" s="179" t="str">
        <f>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78"/>
        <v/>
      </c>
      <c r="T578" s="174" t="str">
        <f ca="1">IF(B578="","",IF(ISERROR(MATCH($J578,SorP!$B$1:$B$6279,0)),"",INDIRECT("'SorP'!$A$"&amp;MATCH($S578&amp;$J578,SorP!C:C,0))))</f>
        <v/>
      </c>
      <c r="U578" s="194"/>
      <c r="V578" s="218" t="e">
        <f>IF(C578="",NA(),IF(OR(C578="Smelter not listed",C578="Smelter not yet identified"),MATCH($B578&amp;$D578,'Smelter Look-up'!$J:$J,0),MATCH($B578&amp;$C578,'Smelter Look-up'!$J:$J,0)))</f>
        <v>#N/A</v>
      </c>
      <c r="X578" s="219">
        <f t="shared" ca="1" si="79"/>
        <v>0</v>
      </c>
      <c r="AB578" s="220" t="str">
        <f t="shared" si="80"/>
        <v/>
      </c>
    </row>
    <row r="579" spans="1:28" s="219" customFormat="1" ht="20.25">
      <c r="A579" s="174"/>
      <c r="B579" s="175" t="str">
        <f>IF(LEN(A579)=0,"",INDEX('Smelter Look-up'!$A:$A,MATCH($A579,'Smelter Look-up'!$E:$E,0)))</f>
        <v/>
      </c>
      <c r="C579" s="179" t="str">
        <f>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78"/>
        <v/>
      </c>
      <c r="T579" s="174" t="str">
        <f ca="1">IF(B579="","",IF(ISERROR(MATCH($J579,SorP!$B$1:$B$6279,0)),"",INDIRECT("'SorP'!$A$"&amp;MATCH($S579&amp;$J579,SorP!C:C,0))))</f>
        <v/>
      </c>
      <c r="U579" s="194"/>
      <c r="V579" s="218" t="e">
        <f>IF(C579="",NA(),IF(OR(C579="Smelter not listed",C579="Smelter not yet identified"),MATCH($B579&amp;$D579,'Smelter Look-up'!$J:$J,0),MATCH($B579&amp;$C579,'Smelter Look-up'!$J:$J,0)))</f>
        <v>#N/A</v>
      </c>
      <c r="X579" s="219">
        <f t="shared" ca="1" si="79"/>
        <v>0</v>
      </c>
      <c r="AB579" s="220" t="str">
        <f t="shared" si="80"/>
        <v/>
      </c>
    </row>
    <row r="580" spans="1:28" s="219" customFormat="1" ht="20.25">
      <c r="A580" s="174"/>
      <c r="B580" s="175" t="str">
        <f>IF(LEN(A580)=0,"",INDEX('Smelter Look-up'!$A:$A,MATCH($A580,'Smelter Look-up'!$E:$E,0)))</f>
        <v/>
      </c>
      <c r="C580" s="179" t="str">
        <f>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ca="1" si="78"/>
        <v/>
      </c>
      <c r="T580" s="174" t="str">
        <f ca="1">IF(B580="","",IF(ISERROR(MATCH($J580,SorP!$B$1:$B$6279,0)),"",INDIRECT("'SorP'!$A$"&amp;MATCH($S580&amp;$J580,SorP!C:C,0))))</f>
        <v/>
      </c>
      <c r="U580" s="194"/>
      <c r="V580" s="218" t="e">
        <f>IF(C580="",NA(),IF(OR(C580="Smelter not listed",C580="Smelter not yet identified"),MATCH($B580&amp;$D580,'Smelter Look-up'!$J:$J,0),MATCH($B580&amp;$C580,'Smelter Look-up'!$J:$J,0)))</f>
        <v>#N/A</v>
      </c>
      <c r="X580" s="219">
        <f t="shared" ca="1" si="79"/>
        <v>0</v>
      </c>
      <c r="AB580" s="220" t="str">
        <f t="shared" si="80"/>
        <v/>
      </c>
    </row>
    <row r="581" spans="1:28" s="219" customFormat="1" ht="20.25">
      <c r="A581" s="174"/>
      <c r="B581" s="175" t="str">
        <f>IF(LEN(A581)=0,"",INDEX('Smelter Look-up'!$A:$A,MATCH($A581,'Smelter Look-up'!$E:$E,0)))</f>
        <v/>
      </c>
      <c r="C581" s="179" t="str">
        <f>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t="shared" ref="S581" ca="1" si="81">IF(B581="","",IF(ISERROR(MATCH($E581,CL,0)),"Unknown",INDIRECT("'C'!$A$"&amp;MATCH($E581,CL,0)+1)))</f>
        <v/>
      </c>
      <c r="T581" s="174" t="str">
        <f ca="1">IF(B581="","",IF(ISERROR(MATCH($J581,SorP!$B$1:$B$6279,0)),"",INDIRECT("'SorP'!$A$"&amp;MATCH($S581&amp;$J581,SorP!C:C,0))))</f>
        <v/>
      </c>
      <c r="U581" s="194"/>
      <c r="V581" s="218" t="e">
        <f>IF(C581="",NA(),IF(OR(C581="Smelter not listed",C581="Smelter not yet identified"),MATCH($B581&amp;$D581,'Smelter Look-up'!$J:$J,0),MATCH($B581&amp;$C581,'Smelter Look-up'!$J:$J,0)))</f>
        <v>#N/A</v>
      </c>
      <c r="X581" s="219">
        <f t="shared" ref="X581" ca="1" si="82">IF(AND(C581="Smelter not listed",OR(LEN(D581)=0,LEN(E581)=0)),1,0)</f>
        <v>0</v>
      </c>
      <c r="AB581" s="220" t="str">
        <f t="shared" ref="AB581" si="83">B581&amp;C581</f>
        <v/>
      </c>
    </row>
    <row r="582" spans="1:28" s="219" customFormat="1" ht="20.25">
      <c r="A582" s="174"/>
      <c r="B582" s="175" t="str">
        <f>IF(LEN(A582)=0,"",INDEX('Smelter Look-up'!$A:$A,MATCH($A582,'Smelter Look-up'!$E:$E,0)))</f>
        <v/>
      </c>
      <c r="C582" s="179" t="str">
        <f>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ca="1">IF(B582="","",IF(ISERROR(MATCH($E582,CL,0)),"Unknown",INDIRECT("'C'!$A$"&amp;MATCH($E582,CL,0)+1)))</f>
        <v/>
      </c>
      <c r="T582" s="174" t="str">
        <f ca="1">IF(B582="","",IF(ISERROR(MATCH($J582,SorP!$B$1:$B$6279,0)),"",INDIRECT("'SorP'!$A$"&amp;MATCH($S582&amp;$J582,SorP!C:C,0))))</f>
        <v/>
      </c>
      <c r="U582" s="194"/>
      <c r="V582" s="218" t="e">
        <f>IF(C582="",NA(),IF(OR(C582="Smelter not listed",C582="Smelter not yet identified"),MATCH($B582&amp;$D582,'Smelter Look-up'!$J:$J,0),MATCH($B582&amp;$C582,'Smelter Look-up'!$J:$J,0)))</f>
        <v>#N/A</v>
      </c>
      <c r="X582" s="219">
        <f ca="1">IF(AND(C582="Smelter not listed",OR(LEN(D582)=0,LEN(E582)=0)),1,0)</f>
        <v>0</v>
      </c>
      <c r="AB582" s="220" t="str">
        <f>B582&amp;C582</f>
        <v/>
      </c>
    </row>
    <row r="583" spans="1:28" s="219" customFormat="1" ht="20.25">
      <c r="A583" s="174"/>
      <c r="B583" s="175" t="str">
        <f>IF(LEN(A583)=0,"",INDEX('Smelter Look-up'!$A:$A,MATCH($A583,'Smelter Look-up'!$E:$E,0)))</f>
        <v/>
      </c>
      <c r="C583" s="179" t="str">
        <f>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ca="1">IF(B583="","",IF(ISERROR(MATCH($E583,CL,0)),"Unknown",INDIRECT("'C'!$A$"&amp;MATCH($E583,CL,0)+1)))</f>
        <v/>
      </c>
      <c r="T583" s="174" t="str">
        <f ca="1">IF(B583="","",IF(ISERROR(MATCH($J583,SorP!$B$1:$B$6279,0)),"",INDIRECT("'SorP'!$A$"&amp;MATCH($S583&amp;$J583,SorP!C:C,0))))</f>
        <v/>
      </c>
      <c r="U583" s="194"/>
      <c r="V583" s="218" t="e">
        <f>IF(C583="",NA(),IF(OR(C583="Smelter not listed",C583="Smelter not yet identified"),MATCH($B583&amp;$D583,'Smelter Look-up'!$J:$J,0),MATCH($B583&amp;$C583,'Smelter Look-up'!$J:$J,0)))</f>
        <v>#N/A</v>
      </c>
      <c r="X583" s="219">
        <f ca="1">IF(AND(C583="Smelter not listed",OR(LEN(D583)=0,LEN(E583)=0)),1,0)</f>
        <v>0</v>
      </c>
      <c r="AB583" s="220" t="str">
        <f>B583&amp;C583</f>
        <v/>
      </c>
    </row>
    <row r="584" spans="1:28" s="219" customFormat="1" ht="20.25">
      <c r="A584" s="174"/>
      <c r="B584" s="175" t="str">
        <f>IF(LEN(A584)=0,"",INDEX('Smelter Look-up'!$A:$A,MATCH($A584,'Smelter Look-up'!$E:$E,0)))</f>
        <v/>
      </c>
      <c r="C584" s="179" t="str">
        <f>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ca="1">IF(B584="","",IF(ISERROR(MATCH($E584,CL,0)),"Unknown",INDIRECT("'C'!$A$"&amp;MATCH($E584,CL,0)+1)))</f>
        <v/>
      </c>
      <c r="T584" s="174" t="str">
        <f ca="1">IF(B584="","",IF(ISERROR(MATCH($J584,SorP!$B$1:$B$6279,0)),"",INDIRECT("'SorP'!$A$"&amp;MATCH($S584&amp;$J584,SorP!C:C,0))))</f>
        <v/>
      </c>
      <c r="U584" s="194"/>
      <c r="V584" s="218" t="e">
        <f>IF(C584="",NA(),IF(OR(C584="Smelter not listed",C584="Smelter not yet identified"),MATCH($B584&amp;$D584,'Smelter Look-up'!$J:$J,0),MATCH($B584&amp;$C584,'Smelter Look-up'!$J:$J,0)))</f>
        <v>#N/A</v>
      </c>
      <c r="X584" s="219">
        <f ca="1">IF(AND(C584="Smelter not listed",OR(LEN(D584)=0,LEN(E584)=0)),1,0)</f>
        <v>0</v>
      </c>
      <c r="AB584" s="220" t="str">
        <f>B584&amp;C584</f>
        <v/>
      </c>
    </row>
    <row r="585" spans="1:28" s="219" customFormat="1" ht="20.25">
      <c r="A585" s="174"/>
      <c r="B585" s="175" t="str">
        <f>IF(LEN(A585)=0,"",INDEX('Smelter Look-up'!$A:$A,MATCH($A585,'Smelter Look-up'!$E:$E,0)))</f>
        <v/>
      </c>
      <c r="C585" s="179" t="str">
        <f>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ca="1">IF(B585="","",IF(ISERROR(MATCH($E585,CL,0)),"Unknown",INDIRECT("'C'!$A$"&amp;MATCH($E585,CL,0)+1)))</f>
        <v/>
      </c>
      <c r="T585" s="174" t="str">
        <f ca="1">IF(B585="","",IF(ISERROR(MATCH($J585,SorP!$B$1:$B$6279,0)),"",INDIRECT("'SorP'!$A$"&amp;MATCH($S585&amp;$J585,SorP!C:C,0))))</f>
        <v/>
      </c>
      <c r="U585" s="194"/>
      <c r="V585" s="218" t="e">
        <f>IF(C585="",NA(),IF(OR(C585="Smelter not listed",C585="Smelter not yet identified"),MATCH($B585&amp;$D585,'Smelter Look-up'!$J:$J,0),MATCH($B585&amp;$C585,'Smelter Look-up'!$J:$J,0)))</f>
        <v>#N/A</v>
      </c>
      <c r="X585" s="219">
        <f ca="1">IF(AND(C585="Smelter not listed",OR(LEN(D585)=0,LEN(E585)=0)),1,0)</f>
        <v>0</v>
      </c>
      <c r="AB585" s="220" t="str">
        <f>B585&amp;C585</f>
        <v/>
      </c>
    </row>
    <row r="586" spans="1:28" s="219" customFormat="1" ht="20.25">
      <c r="A586" s="174"/>
      <c r="B586" s="175" t="str">
        <f>IF(LEN(A586)=0,"",INDEX('Smelter Look-up'!$A:$A,MATCH($A586,'Smelter Look-up'!$E:$E,0)))</f>
        <v/>
      </c>
      <c r="C586" s="179" t="str">
        <f>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ref="S586" ca="1" si="84">IF(B586="","",IF(ISERROR(MATCH($E586,CL,0)),"Unknown",INDIRECT("'C'!$A$"&amp;MATCH($E586,CL,0)+1)))</f>
        <v/>
      </c>
      <c r="T586" s="174" t="str">
        <f ca="1">IF(B586="","",IF(ISERROR(MATCH($J586,SorP!$B$1:$B$6279,0)),"",INDIRECT("'SorP'!$A$"&amp;MATCH($S586&amp;$J586,SorP!C:C,0))))</f>
        <v/>
      </c>
      <c r="U586" s="194"/>
      <c r="V586" s="218" t="e">
        <f>IF(C586="",NA(),IF(OR(C586="Smelter not listed",C586="Smelter not yet identified"),MATCH($B586&amp;$D586,'Smelter Look-up'!$J:$J,0),MATCH($B586&amp;$C586,'Smelter Look-up'!$J:$J,0)))</f>
        <v>#N/A</v>
      </c>
      <c r="X586" s="219">
        <f t="shared" ref="X586" ca="1" si="85">IF(AND(C586="Smelter not listed",OR(LEN(D586)=0,LEN(E586)=0)),1,0)</f>
        <v>0</v>
      </c>
      <c r="AB586" s="220" t="str">
        <f t="shared" ref="AB586" si="86">B586&amp;C586</f>
        <v/>
      </c>
    </row>
    <row r="587" spans="1:28" s="219" customFormat="1" ht="20.25">
      <c r="A587" s="174"/>
      <c r="B587" s="175" t="str">
        <f>IF(LEN(A587)=0,"",INDEX('Smelter Look-up'!$A:$A,MATCH($A587,'Smelter Look-up'!$E:$E,0)))</f>
        <v/>
      </c>
      <c r="C587" s="179" t="str">
        <f>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ref="S587:S634" ca="1" si="87">IF(B587="","",IF(ISERROR(MATCH($E587,CL,0)),"Unknown",INDIRECT("'C'!$A$"&amp;MATCH($E587,CL,0)+1)))</f>
        <v/>
      </c>
      <c r="T587" s="174" t="str">
        <f ca="1">IF(B587="","",IF(ISERROR(MATCH($J587,SorP!$B$1:$B$6279,0)),"",INDIRECT("'SorP'!$A$"&amp;MATCH($S587&amp;$J587,SorP!C:C,0))))</f>
        <v/>
      </c>
      <c r="U587" s="194"/>
      <c r="V587" s="218" t="e">
        <f>IF(C587="",NA(),IF(OR(C587="Smelter not listed",C587="Smelter not yet identified"),MATCH($B587&amp;$D587,'Smelter Look-up'!$J:$J,0),MATCH($B587&amp;$C587,'Smelter Look-up'!$J:$J,0)))</f>
        <v>#N/A</v>
      </c>
      <c r="X587" s="219">
        <f t="shared" ref="X587:X634" ca="1" si="88">IF(AND(C587="Smelter not listed",OR(LEN(D587)=0,LEN(E587)=0)),1,0)</f>
        <v>0</v>
      </c>
      <c r="AB587" s="220" t="str">
        <f t="shared" ref="AB587:AB634" si="89">B587&amp;C587</f>
        <v/>
      </c>
    </row>
    <row r="588" spans="1:28" s="219" customFormat="1" ht="20.25">
      <c r="A588" s="174"/>
      <c r="B588" s="175" t="str">
        <f>IF(LEN(A588)=0,"",INDEX('Smelter Look-up'!$A:$A,MATCH($A588,'Smelter Look-up'!$E:$E,0)))</f>
        <v/>
      </c>
      <c r="C588" s="179" t="str">
        <f>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87"/>
        <v/>
      </c>
      <c r="T588" s="174" t="str">
        <f ca="1">IF(B588="","",IF(ISERROR(MATCH($J588,SorP!$B$1:$B$6279,0)),"",INDIRECT("'SorP'!$A$"&amp;MATCH($S588&amp;$J588,SorP!C:C,0))))</f>
        <v/>
      </c>
      <c r="U588" s="194"/>
      <c r="V588" s="218" t="e">
        <f>IF(C588="",NA(),IF(OR(C588="Smelter not listed",C588="Smelter not yet identified"),MATCH($B588&amp;$D588,'Smelter Look-up'!$J:$J,0),MATCH($B588&amp;$C588,'Smelter Look-up'!$J:$J,0)))</f>
        <v>#N/A</v>
      </c>
      <c r="X588" s="219">
        <f t="shared" ca="1" si="88"/>
        <v>0</v>
      </c>
      <c r="AB588" s="220" t="str">
        <f t="shared" si="89"/>
        <v/>
      </c>
    </row>
    <row r="589" spans="1:28" s="219" customFormat="1" ht="20.25">
      <c r="A589" s="174"/>
      <c r="B589" s="175" t="str">
        <f>IF(LEN(A589)=0,"",INDEX('Smelter Look-up'!$A:$A,MATCH($A589,'Smelter Look-up'!$E:$E,0)))</f>
        <v/>
      </c>
      <c r="C589" s="179" t="str">
        <f>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87"/>
        <v/>
      </c>
      <c r="T589" s="174" t="str">
        <f ca="1">IF(B589="","",IF(ISERROR(MATCH($J589,SorP!$B$1:$B$6279,0)),"",INDIRECT("'SorP'!$A$"&amp;MATCH($S589&amp;$J589,SorP!C:C,0))))</f>
        <v/>
      </c>
      <c r="U589" s="194"/>
      <c r="V589" s="218" t="e">
        <f>IF(C589="",NA(),IF(OR(C589="Smelter not listed",C589="Smelter not yet identified"),MATCH($B589&amp;$D589,'Smelter Look-up'!$J:$J,0),MATCH($B589&amp;$C589,'Smelter Look-up'!$J:$J,0)))</f>
        <v>#N/A</v>
      </c>
      <c r="X589" s="219">
        <f t="shared" ca="1" si="88"/>
        <v>0</v>
      </c>
      <c r="AB589" s="220" t="str">
        <f t="shared" si="89"/>
        <v/>
      </c>
    </row>
    <row r="590" spans="1:28" s="219" customFormat="1" ht="20.25">
      <c r="A590" s="174"/>
      <c r="B590" s="175" t="str">
        <f>IF(LEN(A590)=0,"",INDEX('Smelter Look-up'!$A:$A,MATCH($A590,'Smelter Look-up'!$E:$E,0)))</f>
        <v/>
      </c>
      <c r="C590" s="179" t="str">
        <f>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87"/>
        <v/>
      </c>
      <c r="T590" s="174" t="str">
        <f ca="1">IF(B590="","",IF(ISERROR(MATCH($J590,SorP!$B$1:$B$6279,0)),"",INDIRECT("'SorP'!$A$"&amp;MATCH($S590&amp;$J590,SorP!C:C,0))))</f>
        <v/>
      </c>
      <c r="U590" s="194"/>
      <c r="V590" s="218" t="e">
        <f>IF(C590="",NA(),IF(OR(C590="Smelter not listed",C590="Smelter not yet identified"),MATCH($B590&amp;$D590,'Smelter Look-up'!$J:$J,0),MATCH($B590&amp;$C590,'Smelter Look-up'!$J:$J,0)))</f>
        <v>#N/A</v>
      </c>
      <c r="X590" s="219">
        <f t="shared" ca="1" si="88"/>
        <v>0</v>
      </c>
      <c r="AB590" s="220" t="str">
        <f t="shared" si="89"/>
        <v/>
      </c>
    </row>
    <row r="591" spans="1:28" s="219" customFormat="1" ht="20.25">
      <c r="A591" s="174"/>
      <c r="B591" s="175" t="str">
        <f>IF(LEN(A591)=0,"",INDEX('Smelter Look-up'!$A:$A,MATCH($A591,'Smelter Look-up'!$E:$E,0)))</f>
        <v/>
      </c>
      <c r="C591" s="179" t="str">
        <f>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87"/>
        <v/>
      </c>
      <c r="T591" s="174" t="str">
        <f ca="1">IF(B591="","",IF(ISERROR(MATCH($J591,SorP!$B$1:$B$6279,0)),"",INDIRECT("'SorP'!$A$"&amp;MATCH($S591&amp;$J591,SorP!C:C,0))))</f>
        <v/>
      </c>
      <c r="U591" s="194"/>
      <c r="V591" s="218" t="e">
        <f>IF(C591="",NA(),IF(OR(C591="Smelter not listed",C591="Smelter not yet identified"),MATCH($B591&amp;$D591,'Smelter Look-up'!$J:$J,0),MATCH($B591&amp;$C591,'Smelter Look-up'!$J:$J,0)))</f>
        <v>#N/A</v>
      </c>
      <c r="X591" s="219">
        <f t="shared" ca="1" si="88"/>
        <v>0</v>
      </c>
      <c r="AB591" s="220" t="str">
        <f t="shared" si="89"/>
        <v/>
      </c>
    </row>
    <row r="592" spans="1:28" s="219" customFormat="1" ht="20.25">
      <c r="A592" s="174"/>
      <c r="B592" s="175" t="str">
        <f>IF(LEN(A592)=0,"",INDEX('Smelter Look-up'!$A:$A,MATCH($A592,'Smelter Look-up'!$E:$E,0)))</f>
        <v/>
      </c>
      <c r="C592" s="179" t="str">
        <f>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87"/>
        <v/>
      </c>
      <c r="T592" s="174" t="str">
        <f ca="1">IF(B592="","",IF(ISERROR(MATCH($J592,SorP!$B$1:$B$6279,0)),"",INDIRECT("'SorP'!$A$"&amp;MATCH($S592&amp;$J592,SorP!C:C,0))))</f>
        <v/>
      </c>
      <c r="U592" s="194"/>
      <c r="V592" s="218" t="e">
        <f>IF(C592="",NA(),IF(OR(C592="Smelter not listed",C592="Smelter not yet identified"),MATCH($B592&amp;$D592,'Smelter Look-up'!$J:$J,0),MATCH($B592&amp;$C592,'Smelter Look-up'!$J:$J,0)))</f>
        <v>#N/A</v>
      </c>
      <c r="X592" s="219">
        <f t="shared" ca="1" si="88"/>
        <v>0</v>
      </c>
      <c r="AB592" s="220" t="str">
        <f t="shared" si="89"/>
        <v/>
      </c>
    </row>
    <row r="593" spans="1:28" s="219" customFormat="1" ht="20.25">
      <c r="A593" s="174"/>
      <c r="B593" s="175" t="str">
        <f>IF(LEN(A593)=0,"",INDEX('Smelter Look-up'!$A:$A,MATCH($A593,'Smelter Look-up'!$E:$E,0)))</f>
        <v/>
      </c>
      <c r="C593" s="179" t="str">
        <f>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87"/>
        <v/>
      </c>
      <c r="T593" s="174" t="str">
        <f ca="1">IF(B593="","",IF(ISERROR(MATCH($J593,SorP!$B$1:$B$6279,0)),"",INDIRECT("'SorP'!$A$"&amp;MATCH($S593&amp;$J593,SorP!C:C,0))))</f>
        <v/>
      </c>
      <c r="U593" s="194"/>
      <c r="V593" s="218" t="e">
        <f>IF(C593="",NA(),IF(OR(C593="Smelter not listed",C593="Smelter not yet identified"),MATCH($B593&amp;$D593,'Smelter Look-up'!$J:$J,0),MATCH($B593&amp;$C593,'Smelter Look-up'!$J:$J,0)))</f>
        <v>#N/A</v>
      </c>
      <c r="X593" s="219">
        <f t="shared" ca="1" si="88"/>
        <v>0</v>
      </c>
      <c r="AB593" s="220" t="str">
        <f t="shared" si="89"/>
        <v/>
      </c>
    </row>
    <row r="594" spans="1:28" s="219" customFormat="1" ht="20.25">
      <c r="A594" s="174"/>
      <c r="B594" s="175" t="str">
        <f>IF(LEN(A594)=0,"",INDEX('Smelter Look-up'!$A:$A,MATCH($A594,'Smelter Look-up'!$E:$E,0)))</f>
        <v/>
      </c>
      <c r="C594" s="179" t="str">
        <f>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87"/>
        <v/>
      </c>
      <c r="T594" s="174" t="str">
        <f ca="1">IF(B594="","",IF(ISERROR(MATCH($J594,SorP!$B$1:$B$6279,0)),"",INDIRECT("'SorP'!$A$"&amp;MATCH($S594&amp;$J594,SorP!C:C,0))))</f>
        <v/>
      </c>
      <c r="U594" s="194"/>
      <c r="V594" s="218" t="e">
        <f>IF(C594="",NA(),IF(OR(C594="Smelter not listed",C594="Smelter not yet identified"),MATCH($B594&amp;$D594,'Smelter Look-up'!$J:$J,0),MATCH($B594&amp;$C594,'Smelter Look-up'!$J:$J,0)))</f>
        <v>#N/A</v>
      </c>
      <c r="X594" s="219">
        <f t="shared" ca="1" si="88"/>
        <v>0</v>
      </c>
      <c r="AB594" s="220" t="str">
        <f t="shared" si="89"/>
        <v/>
      </c>
    </row>
    <row r="595" spans="1:28" s="219" customFormat="1" ht="20.25">
      <c r="A595" s="174"/>
      <c r="B595" s="175" t="str">
        <f>IF(LEN(A595)=0,"",INDEX('Smelter Look-up'!$A:$A,MATCH($A595,'Smelter Look-up'!$E:$E,0)))</f>
        <v/>
      </c>
      <c r="C595" s="179" t="str">
        <f>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87"/>
        <v/>
      </c>
      <c r="T595" s="174" t="str">
        <f ca="1">IF(B595="","",IF(ISERROR(MATCH($J595,SorP!$B$1:$B$6279,0)),"",INDIRECT("'SorP'!$A$"&amp;MATCH($S595&amp;$J595,SorP!C:C,0))))</f>
        <v/>
      </c>
      <c r="U595" s="194"/>
      <c r="V595" s="218" t="e">
        <f>IF(C595="",NA(),IF(OR(C595="Smelter not listed",C595="Smelter not yet identified"),MATCH($B595&amp;$D595,'Smelter Look-up'!$J:$J,0),MATCH($B595&amp;$C595,'Smelter Look-up'!$J:$J,0)))</f>
        <v>#N/A</v>
      </c>
      <c r="X595" s="219">
        <f t="shared" ca="1" si="88"/>
        <v>0</v>
      </c>
      <c r="AB595" s="220" t="str">
        <f t="shared" si="89"/>
        <v/>
      </c>
    </row>
    <row r="596" spans="1:28" s="219" customFormat="1" ht="20.25">
      <c r="A596" s="174"/>
      <c r="B596" s="175" t="str">
        <f>IF(LEN(A596)=0,"",INDEX('Smelter Look-up'!$A:$A,MATCH($A596,'Smelter Look-up'!$E:$E,0)))</f>
        <v/>
      </c>
      <c r="C596" s="179" t="str">
        <f>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87"/>
        <v/>
      </c>
      <c r="T596" s="174" t="str">
        <f ca="1">IF(B596="","",IF(ISERROR(MATCH($J596,SorP!$B$1:$B$6279,0)),"",INDIRECT("'SorP'!$A$"&amp;MATCH($S596&amp;$J596,SorP!C:C,0))))</f>
        <v/>
      </c>
      <c r="U596" s="194"/>
      <c r="V596" s="218" t="e">
        <f>IF(C596="",NA(),IF(OR(C596="Smelter not listed",C596="Smelter not yet identified"),MATCH($B596&amp;$D596,'Smelter Look-up'!$J:$J,0),MATCH($B596&amp;$C596,'Smelter Look-up'!$J:$J,0)))</f>
        <v>#N/A</v>
      </c>
      <c r="X596" s="219">
        <f t="shared" ca="1" si="88"/>
        <v>0</v>
      </c>
      <c r="AB596" s="220" t="str">
        <f t="shared" si="89"/>
        <v/>
      </c>
    </row>
    <row r="597" spans="1:28" s="219" customFormat="1" ht="20.25">
      <c r="A597" s="174"/>
      <c r="B597" s="175" t="str">
        <f>IF(LEN(A597)=0,"",INDEX('Smelter Look-up'!$A:$A,MATCH($A597,'Smelter Look-up'!$E:$E,0)))</f>
        <v/>
      </c>
      <c r="C597" s="179" t="str">
        <f>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87"/>
        <v/>
      </c>
      <c r="T597" s="174" t="str">
        <f ca="1">IF(B597="","",IF(ISERROR(MATCH($J597,SorP!$B$1:$B$6279,0)),"",INDIRECT("'SorP'!$A$"&amp;MATCH($S597&amp;$J597,SorP!C:C,0))))</f>
        <v/>
      </c>
      <c r="U597" s="194"/>
      <c r="V597" s="218" t="e">
        <f>IF(C597="",NA(),IF(OR(C597="Smelter not listed",C597="Smelter not yet identified"),MATCH($B597&amp;$D597,'Smelter Look-up'!$J:$J,0),MATCH($B597&amp;$C597,'Smelter Look-up'!$J:$J,0)))</f>
        <v>#N/A</v>
      </c>
      <c r="X597" s="219">
        <f t="shared" ca="1" si="88"/>
        <v>0</v>
      </c>
      <c r="AB597" s="220" t="str">
        <f t="shared" si="89"/>
        <v/>
      </c>
    </row>
    <row r="598" spans="1:28" s="219" customFormat="1" ht="20.25">
      <c r="A598" s="174"/>
      <c r="B598" s="175" t="str">
        <f>IF(LEN(A598)=0,"",INDEX('Smelter Look-up'!$A:$A,MATCH($A598,'Smelter Look-up'!$E:$E,0)))</f>
        <v/>
      </c>
      <c r="C598" s="179" t="str">
        <f>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87"/>
        <v/>
      </c>
      <c r="T598" s="174" t="str">
        <f ca="1">IF(B598="","",IF(ISERROR(MATCH($J598,SorP!$B$1:$B$6279,0)),"",INDIRECT("'SorP'!$A$"&amp;MATCH($S598&amp;$J598,SorP!C:C,0))))</f>
        <v/>
      </c>
      <c r="U598" s="194"/>
      <c r="V598" s="218" t="e">
        <f>IF(C598="",NA(),IF(OR(C598="Smelter not listed",C598="Smelter not yet identified"),MATCH($B598&amp;$D598,'Smelter Look-up'!$J:$J,0),MATCH($B598&amp;$C598,'Smelter Look-up'!$J:$J,0)))</f>
        <v>#N/A</v>
      </c>
      <c r="X598" s="219">
        <f t="shared" ca="1" si="88"/>
        <v>0</v>
      </c>
      <c r="AB598" s="220" t="str">
        <f t="shared" si="89"/>
        <v/>
      </c>
    </row>
    <row r="599" spans="1:28" s="219" customFormat="1" ht="20.25">
      <c r="A599" s="174"/>
      <c r="B599" s="175" t="str">
        <f>IF(LEN(A599)=0,"",INDEX('Smelter Look-up'!$A:$A,MATCH($A599,'Smelter Look-up'!$E:$E,0)))</f>
        <v/>
      </c>
      <c r="C599" s="179" t="str">
        <f>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87"/>
        <v/>
      </c>
      <c r="T599" s="174" t="str">
        <f ca="1">IF(B599="","",IF(ISERROR(MATCH($J599,SorP!$B$1:$B$6279,0)),"",INDIRECT("'SorP'!$A$"&amp;MATCH($S599&amp;$J599,SorP!C:C,0))))</f>
        <v/>
      </c>
      <c r="U599" s="194"/>
      <c r="V599" s="218" t="e">
        <f>IF(C599="",NA(),IF(OR(C599="Smelter not listed",C599="Smelter not yet identified"),MATCH($B599&amp;$D599,'Smelter Look-up'!$J:$J,0),MATCH($B599&amp;$C599,'Smelter Look-up'!$J:$J,0)))</f>
        <v>#N/A</v>
      </c>
      <c r="X599" s="219">
        <f t="shared" ca="1" si="88"/>
        <v>0</v>
      </c>
      <c r="AB599" s="220" t="str">
        <f t="shared" si="89"/>
        <v/>
      </c>
    </row>
    <row r="600" spans="1:28" s="219" customFormat="1" ht="20.25">
      <c r="A600" s="174"/>
      <c r="B600" s="175" t="str">
        <f>IF(LEN(A600)=0,"",INDEX('Smelter Look-up'!$A:$A,MATCH($A600,'Smelter Look-up'!$E:$E,0)))</f>
        <v/>
      </c>
      <c r="C600" s="179" t="str">
        <f>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87"/>
        <v/>
      </c>
      <c r="T600" s="174" t="str">
        <f ca="1">IF(B600="","",IF(ISERROR(MATCH($J600,SorP!$B$1:$B$6279,0)),"",INDIRECT("'SorP'!$A$"&amp;MATCH($S600&amp;$J600,SorP!C:C,0))))</f>
        <v/>
      </c>
      <c r="U600" s="194"/>
      <c r="V600" s="218" t="e">
        <f>IF(C600="",NA(),IF(OR(C600="Smelter not listed",C600="Smelter not yet identified"),MATCH($B600&amp;$D600,'Smelter Look-up'!$J:$J,0),MATCH($B600&amp;$C600,'Smelter Look-up'!$J:$J,0)))</f>
        <v>#N/A</v>
      </c>
      <c r="X600" s="219">
        <f t="shared" ca="1" si="88"/>
        <v>0</v>
      </c>
      <c r="AB600" s="220" t="str">
        <f t="shared" si="89"/>
        <v/>
      </c>
    </row>
    <row r="601" spans="1:28" s="219" customFormat="1" ht="20.25">
      <c r="A601" s="174"/>
      <c r="B601" s="175" t="str">
        <f>IF(LEN(A601)=0,"",INDEX('Smelter Look-up'!$A:$A,MATCH($A601,'Smelter Look-up'!$E:$E,0)))</f>
        <v/>
      </c>
      <c r="C601" s="179" t="str">
        <f>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87"/>
        <v/>
      </c>
      <c r="T601" s="174" t="str">
        <f ca="1">IF(B601="","",IF(ISERROR(MATCH($J601,SorP!$B$1:$B$6279,0)),"",INDIRECT("'SorP'!$A$"&amp;MATCH($S601&amp;$J601,SorP!C:C,0))))</f>
        <v/>
      </c>
      <c r="U601" s="194"/>
      <c r="V601" s="218" t="e">
        <f>IF(C601="",NA(),IF(OR(C601="Smelter not listed",C601="Smelter not yet identified"),MATCH($B601&amp;$D601,'Smelter Look-up'!$J:$J,0),MATCH($B601&amp;$C601,'Smelter Look-up'!$J:$J,0)))</f>
        <v>#N/A</v>
      </c>
      <c r="X601" s="219">
        <f t="shared" ca="1" si="88"/>
        <v>0</v>
      </c>
      <c r="AB601" s="220" t="str">
        <f t="shared" si="89"/>
        <v/>
      </c>
    </row>
    <row r="602" spans="1:28" s="219" customFormat="1" ht="20.25">
      <c r="A602" s="174"/>
      <c r="B602" s="175" t="str">
        <f>IF(LEN(A602)=0,"",INDEX('Smelter Look-up'!$A:$A,MATCH($A602,'Smelter Look-up'!$E:$E,0)))</f>
        <v/>
      </c>
      <c r="C602" s="179" t="str">
        <f>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87"/>
        <v/>
      </c>
      <c r="T602" s="174" t="str">
        <f ca="1">IF(B602="","",IF(ISERROR(MATCH($J602,SorP!$B$1:$B$6279,0)),"",INDIRECT("'SorP'!$A$"&amp;MATCH($S602&amp;$J602,SorP!C:C,0))))</f>
        <v/>
      </c>
      <c r="U602" s="194"/>
      <c r="V602" s="218" t="e">
        <f>IF(C602="",NA(),IF(OR(C602="Smelter not listed",C602="Smelter not yet identified"),MATCH($B602&amp;$D602,'Smelter Look-up'!$J:$J,0),MATCH($B602&amp;$C602,'Smelter Look-up'!$J:$J,0)))</f>
        <v>#N/A</v>
      </c>
      <c r="X602" s="219">
        <f t="shared" ca="1" si="88"/>
        <v>0</v>
      </c>
      <c r="AB602" s="220" t="str">
        <f t="shared" si="89"/>
        <v/>
      </c>
    </row>
    <row r="603" spans="1:28" s="219" customFormat="1" ht="20.25">
      <c r="A603" s="174"/>
      <c r="B603" s="175" t="str">
        <f>IF(LEN(A603)=0,"",INDEX('Smelter Look-up'!$A:$A,MATCH($A603,'Smelter Look-up'!$E:$E,0)))</f>
        <v/>
      </c>
      <c r="C603" s="179" t="str">
        <f>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87"/>
        <v/>
      </c>
      <c r="T603" s="174" t="str">
        <f ca="1">IF(B603="","",IF(ISERROR(MATCH($J603,SorP!$B$1:$B$6279,0)),"",INDIRECT("'SorP'!$A$"&amp;MATCH($S603&amp;$J603,SorP!C:C,0))))</f>
        <v/>
      </c>
      <c r="U603" s="194"/>
      <c r="V603" s="218" t="e">
        <f>IF(C603="",NA(),IF(OR(C603="Smelter not listed",C603="Smelter not yet identified"),MATCH($B603&amp;$D603,'Smelter Look-up'!$J:$J,0),MATCH($B603&amp;$C603,'Smelter Look-up'!$J:$J,0)))</f>
        <v>#N/A</v>
      </c>
      <c r="X603" s="219">
        <f t="shared" ca="1" si="88"/>
        <v>0</v>
      </c>
      <c r="AB603" s="220" t="str">
        <f t="shared" si="89"/>
        <v/>
      </c>
    </row>
    <row r="604" spans="1:28" s="219" customFormat="1" ht="20.25">
      <c r="A604" s="174"/>
      <c r="B604" s="175" t="str">
        <f>IF(LEN(A604)=0,"",INDEX('Smelter Look-up'!$A:$A,MATCH($A604,'Smelter Look-up'!$E:$E,0)))</f>
        <v/>
      </c>
      <c r="C604" s="179" t="str">
        <f>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87"/>
        <v/>
      </c>
      <c r="T604" s="174" t="str">
        <f ca="1">IF(B604="","",IF(ISERROR(MATCH($J604,SorP!$B$1:$B$6279,0)),"",INDIRECT("'SorP'!$A$"&amp;MATCH($S604&amp;$J604,SorP!C:C,0))))</f>
        <v/>
      </c>
      <c r="U604" s="194"/>
      <c r="V604" s="218" t="e">
        <f>IF(C604="",NA(),IF(OR(C604="Smelter not listed",C604="Smelter not yet identified"),MATCH($B604&amp;$D604,'Smelter Look-up'!$J:$J,0),MATCH($B604&amp;$C604,'Smelter Look-up'!$J:$J,0)))</f>
        <v>#N/A</v>
      </c>
      <c r="X604" s="219">
        <f t="shared" ca="1" si="88"/>
        <v>0</v>
      </c>
      <c r="AB604" s="220" t="str">
        <f t="shared" si="89"/>
        <v/>
      </c>
    </row>
    <row r="605" spans="1:28" s="219" customFormat="1" ht="20.25">
      <c r="A605" s="174"/>
      <c r="B605" s="175" t="str">
        <f>IF(LEN(A605)=0,"",INDEX('Smelter Look-up'!$A:$A,MATCH($A605,'Smelter Look-up'!$E:$E,0)))</f>
        <v/>
      </c>
      <c r="C605" s="179" t="str">
        <f>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87"/>
        <v/>
      </c>
      <c r="T605" s="174" t="str">
        <f ca="1">IF(B605="","",IF(ISERROR(MATCH($J605,SorP!$B$1:$B$6279,0)),"",INDIRECT("'SorP'!$A$"&amp;MATCH($S605&amp;$J605,SorP!C:C,0))))</f>
        <v/>
      </c>
      <c r="U605" s="194"/>
      <c r="V605" s="218" t="e">
        <f>IF(C605="",NA(),IF(OR(C605="Smelter not listed",C605="Smelter not yet identified"),MATCH($B605&amp;$D605,'Smelter Look-up'!$J:$J,0),MATCH($B605&amp;$C605,'Smelter Look-up'!$J:$J,0)))</f>
        <v>#N/A</v>
      </c>
      <c r="X605" s="219">
        <f t="shared" ca="1" si="88"/>
        <v>0</v>
      </c>
      <c r="AB605" s="220" t="str">
        <f t="shared" si="89"/>
        <v/>
      </c>
    </row>
    <row r="606" spans="1:28" s="219" customFormat="1" ht="20.25">
      <c r="A606" s="174"/>
      <c r="B606" s="175" t="str">
        <f>IF(LEN(A606)=0,"",INDEX('Smelter Look-up'!$A:$A,MATCH($A606,'Smelter Look-up'!$E:$E,0)))</f>
        <v/>
      </c>
      <c r="C606" s="179" t="str">
        <f>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87"/>
        <v/>
      </c>
      <c r="T606" s="174" t="str">
        <f ca="1">IF(B606="","",IF(ISERROR(MATCH($J606,SorP!$B$1:$B$6279,0)),"",INDIRECT("'SorP'!$A$"&amp;MATCH($S606&amp;$J606,SorP!C:C,0))))</f>
        <v/>
      </c>
      <c r="U606" s="194"/>
      <c r="V606" s="218" t="e">
        <f>IF(C606="",NA(),IF(OR(C606="Smelter not listed",C606="Smelter not yet identified"),MATCH($B606&amp;$D606,'Smelter Look-up'!$J:$J,0),MATCH($B606&amp;$C606,'Smelter Look-up'!$J:$J,0)))</f>
        <v>#N/A</v>
      </c>
      <c r="X606" s="219">
        <f t="shared" ca="1" si="88"/>
        <v>0</v>
      </c>
      <c r="AB606" s="220" t="str">
        <f t="shared" si="89"/>
        <v/>
      </c>
    </row>
    <row r="607" spans="1:28" s="219" customFormat="1" ht="20.25">
      <c r="A607" s="174"/>
      <c r="B607" s="175" t="str">
        <f>IF(LEN(A607)=0,"",INDEX('Smelter Look-up'!$A:$A,MATCH($A607,'Smelter Look-up'!$E:$E,0)))</f>
        <v/>
      </c>
      <c r="C607" s="179" t="str">
        <f>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87"/>
        <v/>
      </c>
      <c r="T607" s="174" t="str">
        <f ca="1">IF(B607="","",IF(ISERROR(MATCH($J607,SorP!$B$1:$B$6279,0)),"",INDIRECT("'SorP'!$A$"&amp;MATCH($S607&amp;$J607,SorP!C:C,0))))</f>
        <v/>
      </c>
      <c r="U607" s="194"/>
      <c r="V607" s="218" t="e">
        <f>IF(C607="",NA(),IF(OR(C607="Smelter not listed",C607="Smelter not yet identified"),MATCH($B607&amp;$D607,'Smelter Look-up'!$J:$J,0),MATCH($B607&amp;$C607,'Smelter Look-up'!$J:$J,0)))</f>
        <v>#N/A</v>
      </c>
      <c r="X607" s="219">
        <f t="shared" ca="1" si="88"/>
        <v>0</v>
      </c>
      <c r="AB607" s="220" t="str">
        <f t="shared" si="89"/>
        <v/>
      </c>
    </row>
    <row r="608" spans="1:28" s="219" customFormat="1" ht="20.25">
      <c r="A608" s="174"/>
      <c r="B608" s="175" t="str">
        <f>IF(LEN(A608)=0,"",INDEX('Smelter Look-up'!$A:$A,MATCH($A608,'Smelter Look-up'!$E:$E,0)))</f>
        <v/>
      </c>
      <c r="C608" s="179" t="str">
        <f>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87"/>
        <v/>
      </c>
      <c r="T608" s="174" t="str">
        <f ca="1">IF(B608="","",IF(ISERROR(MATCH($J608,SorP!$B$1:$B$6279,0)),"",INDIRECT("'SorP'!$A$"&amp;MATCH($S608&amp;$J608,SorP!C:C,0))))</f>
        <v/>
      </c>
      <c r="U608" s="194"/>
      <c r="V608" s="218" t="e">
        <f>IF(C608="",NA(),IF(OR(C608="Smelter not listed",C608="Smelter not yet identified"),MATCH($B608&amp;$D608,'Smelter Look-up'!$J:$J,0),MATCH($B608&amp;$C608,'Smelter Look-up'!$J:$J,0)))</f>
        <v>#N/A</v>
      </c>
      <c r="X608" s="219">
        <f t="shared" ca="1" si="88"/>
        <v>0</v>
      </c>
      <c r="AB608" s="220" t="str">
        <f t="shared" si="89"/>
        <v/>
      </c>
    </row>
    <row r="609" spans="1:28" s="219" customFormat="1" ht="20.25">
      <c r="A609" s="174"/>
      <c r="B609" s="175" t="str">
        <f>IF(LEN(A609)=0,"",INDEX('Smelter Look-up'!$A:$A,MATCH($A609,'Smelter Look-up'!$E:$E,0)))</f>
        <v/>
      </c>
      <c r="C609" s="179" t="str">
        <f>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87"/>
        <v/>
      </c>
      <c r="T609" s="174" t="str">
        <f ca="1">IF(B609="","",IF(ISERROR(MATCH($J609,SorP!$B$1:$B$6279,0)),"",INDIRECT("'SorP'!$A$"&amp;MATCH($S609&amp;$J609,SorP!C:C,0))))</f>
        <v/>
      </c>
      <c r="U609" s="194"/>
      <c r="V609" s="218" t="e">
        <f>IF(C609="",NA(),IF(OR(C609="Smelter not listed",C609="Smelter not yet identified"),MATCH($B609&amp;$D609,'Smelter Look-up'!$J:$J,0),MATCH($B609&amp;$C609,'Smelter Look-up'!$J:$J,0)))</f>
        <v>#N/A</v>
      </c>
      <c r="X609" s="219">
        <f t="shared" ca="1" si="88"/>
        <v>0</v>
      </c>
      <c r="AB609" s="220" t="str">
        <f t="shared" si="89"/>
        <v/>
      </c>
    </row>
    <row r="610" spans="1:28" s="219" customFormat="1" ht="20.25">
      <c r="A610" s="174"/>
      <c r="B610" s="175" t="str">
        <f>IF(LEN(A610)=0,"",INDEX('Smelter Look-up'!$A:$A,MATCH($A610,'Smelter Look-up'!$E:$E,0)))</f>
        <v/>
      </c>
      <c r="C610" s="179" t="str">
        <f>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87"/>
        <v/>
      </c>
      <c r="T610" s="174" t="str">
        <f ca="1">IF(B610="","",IF(ISERROR(MATCH($J610,SorP!$B$1:$B$6279,0)),"",INDIRECT("'SorP'!$A$"&amp;MATCH($S610&amp;$J610,SorP!C:C,0))))</f>
        <v/>
      </c>
      <c r="U610" s="194"/>
      <c r="V610" s="218" t="e">
        <f>IF(C610="",NA(),IF(OR(C610="Smelter not listed",C610="Smelter not yet identified"),MATCH($B610&amp;$D610,'Smelter Look-up'!$J:$J,0),MATCH($B610&amp;$C610,'Smelter Look-up'!$J:$J,0)))</f>
        <v>#N/A</v>
      </c>
      <c r="X610" s="219">
        <f t="shared" ca="1" si="88"/>
        <v>0</v>
      </c>
      <c r="AB610" s="220" t="str">
        <f t="shared" si="89"/>
        <v/>
      </c>
    </row>
    <row r="611" spans="1:28" s="219" customFormat="1" ht="20.25">
      <c r="A611" s="174"/>
      <c r="B611" s="175" t="str">
        <f>IF(LEN(A611)=0,"",INDEX('Smelter Look-up'!$A:$A,MATCH($A611,'Smelter Look-up'!$E:$E,0)))</f>
        <v/>
      </c>
      <c r="C611" s="179" t="str">
        <f>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87"/>
        <v/>
      </c>
      <c r="T611" s="174" t="str">
        <f ca="1">IF(B611="","",IF(ISERROR(MATCH($J611,SorP!$B$1:$B$6279,0)),"",INDIRECT("'SorP'!$A$"&amp;MATCH($S611&amp;$J611,SorP!C:C,0))))</f>
        <v/>
      </c>
      <c r="U611" s="194"/>
      <c r="V611" s="218" t="e">
        <f>IF(C611="",NA(),IF(OR(C611="Smelter not listed",C611="Smelter not yet identified"),MATCH($B611&amp;$D611,'Smelter Look-up'!$J:$J,0),MATCH($B611&amp;$C611,'Smelter Look-up'!$J:$J,0)))</f>
        <v>#N/A</v>
      </c>
      <c r="X611" s="219">
        <f t="shared" ca="1" si="88"/>
        <v>0</v>
      </c>
      <c r="AB611" s="220" t="str">
        <f t="shared" si="89"/>
        <v/>
      </c>
    </row>
    <row r="612" spans="1:28" s="219" customFormat="1" ht="20.25">
      <c r="A612" s="174"/>
      <c r="B612" s="175" t="str">
        <f>IF(LEN(A612)=0,"",INDEX('Smelter Look-up'!$A:$A,MATCH($A612,'Smelter Look-up'!$E:$E,0)))</f>
        <v/>
      </c>
      <c r="C612" s="179" t="str">
        <f>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87"/>
        <v/>
      </c>
      <c r="T612" s="174" t="str">
        <f ca="1">IF(B612="","",IF(ISERROR(MATCH($J612,SorP!$B$1:$B$6279,0)),"",INDIRECT("'SorP'!$A$"&amp;MATCH($S612&amp;$J612,SorP!C:C,0))))</f>
        <v/>
      </c>
      <c r="U612" s="194"/>
      <c r="V612" s="218" t="e">
        <f>IF(C612="",NA(),IF(OR(C612="Smelter not listed",C612="Smelter not yet identified"),MATCH($B612&amp;$D612,'Smelter Look-up'!$J:$J,0),MATCH($B612&amp;$C612,'Smelter Look-up'!$J:$J,0)))</f>
        <v>#N/A</v>
      </c>
      <c r="X612" s="219">
        <f t="shared" ca="1" si="88"/>
        <v>0</v>
      </c>
      <c r="AB612" s="220" t="str">
        <f t="shared" si="89"/>
        <v/>
      </c>
    </row>
    <row r="613" spans="1:28" s="219" customFormat="1" ht="20.25">
      <c r="A613" s="174"/>
      <c r="B613" s="175" t="str">
        <f>IF(LEN(A613)=0,"",INDEX('Smelter Look-up'!$A:$A,MATCH($A613,'Smelter Look-up'!$E:$E,0)))</f>
        <v/>
      </c>
      <c r="C613" s="179" t="str">
        <f>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87"/>
        <v/>
      </c>
      <c r="T613" s="174" t="str">
        <f ca="1">IF(B613="","",IF(ISERROR(MATCH($J613,SorP!$B$1:$B$6279,0)),"",INDIRECT("'SorP'!$A$"&amp;MATCH($S613&amp;$J613,SorP!C:C,0))))</f>
        <v/>
      </c>
      <c r="U613" s="194"/>
      <c r="V613" s="218" t="e">
        <f>IF(C613="",NA(),IF(OR(C613="Smelter not listed",C613="Smelter not yet identified"),MATCH($B613&amp;$D613,'Smelter Look-up'!$J:$J,0),MATCH($B613&amp;$C613,'Smelter Look-up'!$J:$J,0)))</f>
        <v>#N/A</v>
      </c>
      <c r="X613" s="219">
        <f t="shared" ca="1" si="88"/>
        <v>0</v>
      </c>
      <c r="AB613" s="220" t="str">
        <f t="shared" si="89"/>
        <v/>
      </c>
    </row>
    <row r="614" spans="1:28" s="219" customFormat="1" ht="20.25">
      <c r="A614" s="174"/>
      <c r="B614" s="175" t="str">
        <f>IF(LEN(A614)=0,"",INDEX('Smelter Look-up'!$A:$A,MATCH($A614,'Smelter Look-up'!$E:$E,0)))</f>
        <v/>
      </c>
      <c r="C614" s="179" t="str">
        <f>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87"/>
        <v/>
      </c>
      <c r="T614" s="174" t="str">
        <f ca="1">IF(B614="","",IF(ISERROR(MATCH($J614,SorP!$B$1:$B$6279,0)),"",INDIRECT("'SorP'!$A$"&amp;MATCH($S614&amp;$J614,SorP!C:C,0))))</f>
        <v/>
      </c>
      <c r="U614" s="194"/>
      <c r="V614" s="218" t="e">
        <f>IF(C614="",NA(),IF(OR(C614="Smelter not listed",C614="Smelter not yet identified"),MATCH($B614&amp;$D614,'Smelter Look-up'!$J:$J,0),MATCH($B614&amp;$C614,'Smelter Look-up'!$J:$J,0)))</f>
        <v>#N/A</v>
      </c>
      <c r="X614" s="219">
        <f t="shared" ca="1" si="88"/>
        <v>0</v>
      </c>
      <c r="AB614" s="220" t="str">
        <f t="shared" si="89"/>
        <v/>
      </c>
    </row>
    <row r="615" spans="1:28" s="219" customFormat="1" ht="20.25">
      <c r="A615" s="174"/>
      <c r="B615" s="175" t="str">
        <f>IF(LEN(A615)=0,"",INDEX('Smelter Look-up'!$A:$A,MATCH($A615,'Smelter Look-up'!$E:$E,0)))</f>
        <v/>
      </c>
      <c r="C615" s="179" t="str">
        <f>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87"/>
        <v/>
      </c>
      <c r="T615" s="174" t="str">
        <f ca="1">IF(B615="","",IF(ISERROR(MATCH($J615,SorP!$B$1:$B$6279,0)),"",INDIRECT("'SorP'!$A$"&amp;MATCH($S615&amp;$J615,SorP!C:C,0))))</f>
        <v/>
      </c>
      <c r="U615" s="194"/>
      <c r="V615" s="218" t="e">
        <f>IF(C615="",NA(),IF(OR(C615="Smelter not listed",C615="Smelter not yet identified"),MATCH($B615&amp;$D615,'Smelter Look-up'!$J:$J,0),MATCH($B615&amp;$C615,'Smelter Look-up'!$J:$J,0)))</f>
        <v>#N/A</v>
      </c>
      <c r="X615" s="219">
        <f t="shared" ca="1" si="88"/>
        <v>0</v>
      </c>
      <c r="AB615" s="220" t="str">
        <f t="shared" si="89"/>
        <v/>
      </c>
    </row>
    <row r="616" spans="1:28" s="219" customFormat="1" ht="20.25">
      <c r="A616" s="174"/>
      <c r="B616" s="175" t="str">
        <f>IF(LEN(A616)=0,"",INDEX('Smelter Look-up'!$A:$A,MATCH($A616,'Smelter Look-up'!$E:$E,0)))</f>
        <v/>
      </c>
      <c r="C616" s="179" t="str">
        <f>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87"/>
        <v/>
      </c>
      <c r="T616" s="174" t="str">
        <f ca="1">IF(B616="","",IF(ISERROR(MATCH($J616,SorP!$B$1:$B$6279,0)),"",INDIRECT("'SorP'!$A$"&amp;MATCH($S616&amp;$J616,SorP!C:C,0))))</f>
        <v/>
      </c>
      <c r="U616" s="194"/>
      <c r="V616" s="218" t="e">
        <f>IF(C616="",NA(),IF(OR(C616="Smelter not listed",C616="Smelter not yet identified"),MATCH($B616&amp;$D616,'Smelter Look-up'!$J:$J,0),MATCH($B616&amp;$C616,'Smelter Look-up'!$J:$J,0)))</f>
        <v>#N/A</v>
      </c>
      <c r="X616" s="219">
        <f t="shared" ca="1" si="88"/>
        <v>0</v>
      </c>
      <c r="AB616" s="220" t="str">
        <f t="shared" si="89"/>
        <v/>
      </c>
    </row>
    <row r="617" spans="1:28" s="219" customFormat="1" ht="20.25">
      <c r="A617" s="174"/>
      <c r="B617" s="175" t="str">
        <f>IF(LEN(A617)=0,"",INDEX('Smelter Look-up'!$A:$A,MATCH($A617,'Smelter Look-up'!$E:$E,0)))</f>
        <v/>
      </c>
      <c r="C617" s="179" t="str">
        <f>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87"/>
        <v/>
      </c>
      <c r="T617" s="174" t="str">
        <f ca="1">IF(B617="","",IF(ISERROR(MATCH($J617,SorP!$B$1:$B$6279,0)),"",INDIRECT("'SorP'!$A$"&amp;MATCH($S617&amp;$J617,SorP!C:C,0))))</f>
        <v/>
      </c>
      <c r="U617" s="194"/>
      <c r="V617" s="218" t="e">
        <f>IF(C617="",NA(),IF(OR(C617="Smelter not listed",C617="Smelter not yet identified"),MATCH($B617&amp;$D617,'Smelter Look-up'!$J:$J,0),MATCH($B617&amp;$C617,'Smelter Look-up'!$J:$J,0)))</f>
        <v>#N/A</v>
      </c>
      <c r="X617" s="219">
        <f t="shared" ca="1" si="88"/>
        <v>0</v>
      </c>
      <c r="AB617" s="220" t="str">
        <f t="shared" si="89"/>
        <v/>
      </c>
    </row>
    <row r="618" spans="1:28" s="219" customFormat="1" ht="20.25">
      <c r="A618" s="174"/>
      <c r="B618" s="175" t="str">
        <f>IF(LEN(A618)=0,"",INDEX('Smelter Look-up'!$A:$A,MATCH($A618,'Smelter Look-up'!$E:$E,0)))</f>
        <v/>
      </c>
      <c r="C618" s="179" t="str">
        <f>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87"/>
        <v/>
      </c>
      <c r="T618" s="174" t="str">
        <f ca="1">IF(B618="","",IF(ISERROR(MATCH($J618,SorP!$B$1:$B$6279,0)),"",INDIRECT("'SorP'!$A$"&amp;MATCH($S618&amp;$J618,SorP!C:C,0))))</f>
        <v/>
      </c>
      <c r="U618" s="194"/>
      <c r="V618" s="218" t="e">
        <f>IF(C618="",NA(),IF(OR(C618="Smelter not listed",C618="Smelter not yet identified"),MATCH($B618&amp;$D618,'Smelter Look-up'!$J:$J,0),MATCH($B618&amp;$C618,'Smelter Look-up'!$J:$J,0)))</f>
        <v>#N/A</v>
      </c>
      <c r="X618" s="219">
        <f t="shared" ca="1" si="88"/>
        <v>0</v>
      </c>
      <c r="AB618" s="220" t="str">
        <f t="shared" si="89"/>
        <v/>
      </c>
    </row>
    <row r="619" spans="1:28" s="219" customFormat="1" ht="20.25">
      <c r="A619" s="174"/>
      <c r="B619" s="175" t="str">
        <f>IF(LEN(A619)=0,"",INDEX('Smelter Look-up'!$A:$A,MATCH($A619,'Smelter Look-up'!$E:$E,0)))</f>
        <v/>
      </c>
      <c r="C619" s="179" t="str">
        <f>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87"/>
        <v/>
      </c>
      <c r="T619" s="174" t="str">
        <f ca="1">IF(B619="","",IF(ISERROR(MATCH($J619,SorP!$B$1:$B$6279,0)),"",INDIRECT("'SorP'!$A$"&amp;MATCH($S619&amp;$J619,SorP!C:C,0))))</f>
        <v/>
      </c>
      <c r="U619" s="194"/>
      <c r="V619" s="218" t="e">
        <f>IF(C619="",NA(),IF(OR(C619="Smelter not listed",C619="Smelter not yet identified"),MATCH($B619&amp;$D619,'Smelter Look-up'!$J:$J,0),MATCH($B619&amp;$C619,'Smelter Look-up'!$J:$J,0)))</f>
        <v>#N/A</v>
      </c>
      <c r="X619" s="219">
        <f t="shared" ca="1" si="88"/>
        <v>0</v>
      </c>
      <c r="AB619" s="220" t="str">
        <f t="shared" si="89"/>
        <v/>
      </c>
    </row>
    <row r="620" spans="1:28" s="219" customFormat="1" ht="20.25">
      <c r="A620" s="174"/>
      <c r="B620" s="175" t="str">
        <f>IF(LEN(A620)=0,"",INDEX('Smelter Look-up'!$A:$A,MATCH($A620,'Smelter Look-up'!$E:$E,0)))</f>
        <v/>
      </c>
      <c r="C620" s="179" t="str">
        <f>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87"/>
        <v/>
      </c>
      <c r="T620" s="174" t="str">
        <f ca="1">IF(B620="","",IF(ISERROR(MATCH($J620,SorP!$B$1:$B$6279,0)),"",INDIRECT("'SorP'!$A$"&amp;MATCH($S620&amp;$J620,SorP!C:C,0))))</f>
        <v/>
      </c>
      <c r="U620" s="194"/>
      <c r="V620" s="218" t="e">
        <f>IF(C620="",NA(),IF(OR(C620="Smelter not listed",C620="Smelter not yet identified"),MATCH($B620&amp;$D620,'Smelter Look-up'!$J:$J,0),MATCH($B620&amp;$C620,'Smelter Look-up'!$J:$J,0)))</f>
        <v>#N/A</v>
      </c>
      <c r="X620" s="219">
        <f t="shared" ca="1" si="88"/>
        <v>0</v>
      </c>
      <c r="AB620" s="220" t="str">
        <f t="shared" si="89"/>
        <v/>
      </c>
    </row>
    <row r="621" spans="1:28" s="219" customFormat="1" ht="20.25">
      <c r="A621" s="174"/>
      <c r="B621" s="175" t="str">
        <f>IF(LEN(A621)=0,"",INDEX('Smelter Look-up'!$A:$A,MATCH($A621,'Smelter Look-up'!$E:$E,0)))</f>
        <v/>
      </c>
      <c r="C621" s="179" t="str">
        <f>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87"/>
        <v/>
      </c>
      <c r="T621" s="174" t="str">
        <f ca="1">IF(B621="","",IF(ISERROR(MATCH($J621,SorP!$B$1:$B$6279,0)),"",INDIRECT("'SorP'!$A$"&amp;MATCH($S621&amp;$J621,SorP!C:C,0))))</f>
        <v/>
      </c>
      <c r="U621" s="194"/>
      <c r="V621" s="218" t="e">
        <f>IF(C621="",NA(),IF(OR(C621="Smelter not listed",C621="Smelter not yet identified"),MATCH($B621&amp;$D621,'Smelter Look-up'!$J:$J,0),MATCH($B621&amp;$C621,'Smelter Look-up'!$J:$J,0)))</f>
        <v>#N/A</v>
      </c>
      <c r="X621" s="219">
        <f t="shared" ca="1" si="88"/>
        <v>0</v>
      </c>
      <c r="AB621" s="220" t="str">
        <f t="shared" si="89"/>
        <v/>
      </c>
    </row>
    <row r="622" spans="1:28" s="219" customFormat="1" ht="20.25">
      <c r="A622" s="174"/>
      <c r="B622" s="175" t="str">
        <f>IF(LEN(A622)=0,"",INDEX('Smelter Look-up'!$A:$A,MATCH($A622,'Smelter Look-up'!$E:$E,0)))</f>
        <v/>
      </c>
      <c r="C622" s="179" t="str">
        <f>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87"/>
        <v/>
      </c>
      <c r="T622" s="174" t="str">
        <f ca="1">IF(B622="","",IF(ISERROR(MATCH($J622,SorP!$B$1:$B$6279,0)),"",INDIRECT("'SorP'!$A$"&amp;MATCH($S622&amp;$J622,SorP!C:C,0))))</f>
        <v/>
      </c>
      <c r="U622" s="194"/>
      <c r="V622" s="218" t="e">
        <f>IF(C622="",NA(),IF(OR(C622="Smelter not listed",C622="Smelter not yet identified"),MATCH($B622&amp;$D622,'Smelter Look-up'!$J:$J,0),MATCH($B622&amp;$C622,'Smelter Look-up'!$J:$J,0)))</f>
        <v>#N/A</v>
      </c>
      <c r="X622" s="219">
        <f t="shared" ca="1" si="88"/>
        <v>0</v>
      </c>
      <c r="AB622" s="220" t="str">
        <f t="shared" si="89"/>
        <v/>
      </c>
    </row>
    <row r="623" spans="1:28" s="219" customFormat="1" ht="20.25">
      <c r="A623" s="174"/>
      <c r="B623" s="175" t="str">
        <f>IF(LEN(A623)=0,"",INDEX('Smelter Look-up'!$A:$A,MATCH($A623,'Smelter Look-up'!$E:$E,0)))</f>
        <v/>
      </c>
      <c r="C623" s="179" t="str">
        <f>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87"/>
        <v/>
      </c>
      <c r="T623" s="174" t="str">
        <f ca="1">IF(B623="","",IF(ISERROR(MATCH($J623,SorP!$B$1:$B$6279,0)),"",INDIRECT("'SorP'!$A$"&amp;MATCH($S623&amp;$J623,SorP!C:C,0))))</f>
        <v/>
      </c>
      <c r="U623" s="194"/>
      <c r="V623" s="218" t="e">
        <f>IF(C623="",NA(),IF(OR(C623="Smelter not listed",C623="Smelter not yet identified"),MATCH($B623&amp;$D623,'Smelter Look-up'!$J:$J,0),MATCH($B623&amp;$C623,'Smelter Look-up'!$J:$J,0)))</f>
        <v>#N/A</v>
      </c>
      <c r="X623" s="219">
        <f t="shared" ca="1" si="88"/>
        <v>0</v>
      </c>
      <c r="AB623" s="220" t="str">
        <f t="shared" si="89"/>
        <v/>
      </c>
    </row>
    <row r="624" spans="1:28" s="219" customFormat="1" ht="20.25">
      <c r="A624" s="174"/>
      <c r="B624" s="175" t="str">
        <f>IF(LEN(A624)=0,"",INDEX('Smelter Look-up'!$A:$A,MATCH($A624,'Smelter Look-up'!$E:$E,0)))</f>
        <v/>
      </c>
      <c r="C624" s="179" t="str">
        <f>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87"/>
        <v/>
      </c>
      <c r="T624" s="174" t="str">
        <f ca="1">IF(B624="","",IF(ISERROR(MATCH($J624,SorP!$B$1:$B$6279,0)),"",INDIRECT("'SorP'!$A$"&amp;MATCH($S624&amp;$J624,SorP!C:C,0))))</f>
        <v/>
      </c>
      <c r="U624" s="194"/>
      <c r="V624" s="218" t="e">
        <f>IF(C624="",NA(),IF(OR(C624="Smelter not listed",C624="Smelter not yet identified"),MATCH($B624&amp;$D624,'Smelter Look-up'!$J:$J,0),MATCH($B624&amp;$C624,'Smelter Look-up'!$J:$J,0)))</f>
        <v>#N/A</v>
      </c>
      <c r="X624" s="219">
        <f t="shared" ca="1" si="88"/>
        <v>0</v>
      </c>
      <c r="AB624" s="220" t="str">
        <f t="shared" si="89"/>
        <v/>
      </c>
    </row>
    <row r="625" spans="1:28" s="219" customFormat="1" ht="20.25">
      <c r="A625" s="174"/>
      <c r="B625" s="175" t="str">
        <f>IF(LEN(A625)=0,"",INDEX('Smelter Look-up'!$A:$A,MATCH($A625,'Smelter Look-up'!$E:$E,0)))</f>
        <v/>
      </c>
      <c r="C625" s="179" t="str">
        <f>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87"/>
        <v/>
      </c>
      <c r="T625" s="174" t="str">
        <f ca="1">IF(B625="","",IF(ISERROR(MATCH($J625,SorP!$B$1:$B$6279,0)),"",INDIRECT("'SorP'!$A$"&amp;MATCH($S625&amp;$J625,SorP!C:C,0))))</f>
        <v/>
      </c>
      <c r="U625" s="194"/>
      <c r="V625" s="218" t="e">
        <f>IF(C625="",NA(),IF(OR(C625="Smelter not listed",C625="Smelter not yet identified"),MATCH($B625&amp;$D625,'Smelter Look-up'!$J:$J,0),MATCH($B625&amp;$C625,'Smelter Look-up'!$J:$J,0)))</f>
        <v>#N/A</v>
      </c>
      <c r="X625" s="219">
        <f t="shared" ca="1" si="88"/>
        <v>0</v>
      </c>
      <c r="AB625" s="220" t="str">
        <f t="shared" si="89"/>
        <v/>
      </c>
    </row>
    <row r="626" spans="1:28" s="219" customFormat="1" ht="20.25">
      <c r="A626" s="174"/>
      <c r="B626" s="175" t="str">
        <f>IF(LEN(A626)=0,"",INDEX('Smelter Look-up'!$A:$A,MATCH($A626,'Smelter Look-up'!$E:$E,0)))</f>
        <v/>
      </c>
      <c r="C626" s="179" t="str">
        <f>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87"/>
        <v/>
      </c>
      <c r="T626" s="174" t="str">
        <f ca="1">IF(B626="","",IF(ISERROR(MATCH($J626,SorP!$B$1:$B$6279,0)),"",INDIRECT("'SorP'!$A$"&amp;MATCH($S626&amp;$J626,SorP!C:C,0))))</f>
        <v/>
      </c>
      <c r="U626" s="194"/>
      <c r="V626" s="218" t="e">
        <f>IF(C626="",NA(),IF(OR(C626="Smelter not listed",C626="Smelter not yet identified"),MATCH($B626&amp;$D626,'Smelter Look-up'!$J:$J,0),MATCH($B626&amp;$C626,'Smelter Look-up'!$J:$J,0)))</f>
        <v>#N/A</v>
      </c>
      <c r="X626" s="219">
        <f t="shared" ca="1" si="88"/>
        <v>0</v>
      </c>
      <c r="AB626" s="220" t="str">
        <f t="shared" si="89"/>
        <v/>
      </c>
    </row>
    <row r="627" spans="1:28" s="219" customFormat="1" ht="20.25">
      <c r="A627" s="174"/>
      <c r="B627" s="175" t="str">
        <f>IF(LEN(A627)=0,"",INDEX('Smelter Look-up'!$A:$A,MATCH($A627,'Smelter Look-up'!$E:$E,0)))</f>
        <v/>
      </c>
      <c r="C627" s="179" t="str">
        <f>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87"/>
        <v/>
      </c>
      <c r="T627" s="174" t="str">
        <f ca="1">IF(B627="","",IF(ISERROR(MATCH($J627,SorP!$B$1:$B$6279,0)),"",INDIRECT("'SorP'!$A$"&amp;MATCH($S627&amp;$J627,SorP!C:C,0))))</f>
        <v/>
      </c>
      <c r="U627" s="194"/>
      <c r="V627" s="218" t="e">
        <f>IF(C627="",NA(),IF(OR(C627="Smelter not listed",C627="Smelter not yet identified"),MATCH($B627&amp;$D627,'Smelter Look-up'!$J:$J,0),MATCH($B627&amp;$C627,'Smelter Look-up'!$J:$J,0)))</f>
        <v>#N/A</v>
      </c>
      <c r="X627" s="219">
        <f t="shared" ca="1" si="88"/>
        <v>0</v>
      </c>
      <c r="AB627" s="220" t="str">
        <f t="shared" si="89"/>
        <v/>
      </c>
    </row>
    <row r="628" spans="1:28" s="219" customFormat="1" ht="20.25">
      <c r="A628" s="174"/>
      <c r="B628" s="175" t="str">
        <f>IF(LEN(A628)=0,"",INDEX('Smelter Look-up'!$A:$A,MATCH($A628,'Smelter Look-up'!$E:$E,0)))</f>
        <v/>
      </c>
      <c r="C628" s="179" t="str">
        <f>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87"/>
        <v/>
      </c>
      <c r="T628" s="174" t="str">
        <f ca="1">IF(B628="","",IF(ISERROR(MATCH($J628,SorP!$B$1:$B$6279,0)),"",INDIRECT("'SorP'!$A$"&amp;MATCH($S628&amp;$J628,SorP!C:C,0))))</f>
        <v/>
      </c>
      <c r="U628" s="194"/>
      <c r="V628" s="218" t="e">
        <f>IF(C628="",NA(),IF(OR(C628="Smelter not listed",C628="Smelter not yet identified"),MATCH($B628&amp;$D628,'Smelter Look-up'!$J:$J,0),MATCH($B628&amp;$C628,'Smelter Look-up'!$J:$J,0)))</f>
        <v>#N/A</v>
      </c>
      <c r="X628" s="219">
        <f t="shared" ca="1" si="88"/>
        <v>0</v>
      </c>
      <c r="AB628" s="220" t="str">
        <f t="shared" si="89"/>
        <v/>
      </c>
    </row>
    <row r="629" spans="1:28" s="219" customFormat="1" ht="20.25">
      <c r="A629" s="174"/>
      <c r="B629" s="175" t="str">
        <f>IF(LEN(A629)=0,"",INDEX('Smelter Look-up'!$A:$A,MATCH($A629,'Smelter Look-up'!$E:$E,0)))</f>
        <v/>
      </c>
      <c r="C629" s="179" t="str">
        <f>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87"/>
        <v/>
      </c>
      <c r="T629" s="174" t="str">
        <f ca="1">IF(B629="","",IF(ISERROR(MATCH($J629,SorP!$B$1:$B$6279,0)),"",INDIRECT("'SorP'!$A$"&amp;MATCH($S629&amp;$J629,SorP!C:C,0))))</f>
        <v/>
      </c>
      <c r="U629" s="194"/>
      <c r="V629" s="218" t="e">
        <f>IF(C629="",NA(),IF(OR(C629="Smelter not listed",C629="Smelter not yet identified"),MATCH($B629&amp;$D629,'Smelter Look-up'!$J:$J,0),MATCH($B629&amp;$C629,'Smelter Look-up'!$J:$J,0)))</f>
        <v>#N/A</v>
      </c>
      <c r="X629" s="219">
        <f t="shared" ca="1" si="88"/>
        <v>0</v>
      </c>
      <c r="AB629" s="220" t="str">
        <f t="shared" si="89"/>
        <v/>
      </c>
    </row>
    <row r="630" spans="1:28" s="219" customFormat="1" ht="20.25">
      <c r="A630" s="174"/>
      <c r="B630" s="175" t="str">
        <f>IF(LEN(A630)=0,"",INDEX('Smelter Look-up'!$A:$A,MATCH($A630,'Smelter Look-up'!$E:$E,0)))</f>
        <v/>
      </c>
      <c r="C630" s="179" t="str">
        <f>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87"/>
        <v/>
      </c>
      <c r="T630" s="174" t="str">
        <f ca="1">IF(B630="","",IF(ISERROR(MATCH($J630,SorP!$B$1:$B$6279,0)),"",INDIRECT("'SorP'!$A$"&amp;MATCH($S630&amp;$J630,SorP!C:C,0))))</f>
        <v/>
      </c>
      <c r="U630" s="194"/>
      <c r="V630" s="218" t="e">
        <f>IF(C630="",NA(),IF(OR(C630="Smelter not listed",C630="Smelter not yet identified"),MATCH($B630&amp;$D630,'Smelter Look-up'!$J:$J,0),MATCH($B630&amp;$C630,'Smelter Look-up'!$J:$J,0)))</f>
        <v>#N/A</v>
      </c>
      <c r="X630" s="219">
        <f t="shared" ca="1" si="88"/>
        <v>0</v>
      </c>
      <c r="AB630" s="220" t="str">
        <f t="shared" si="89"/>
        <v/>
      </c>
    </row>
    <row r="631" spans="1:28" s="219" customFormat="1" ht="20.25">
      <c r="A631" s="174"/>
      <c r="B631" s="175" t="str">
        <f>IF(LEN(A631)=0,"",INDEX('Smelter Look-up'!$A:$A,MATCH($A631,'Smelter Look-up'!$E:$E,0)))</f>
        <v/>
      </c>
      <c r="C631" s="179" t="str">
        <f>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87"/>
        <v/>
      </c>
      <c r="T631" s="174" t="str">
        <f ca="1">IF(B631="","",IF(ISERROR(MATCH($J631,SorP!$B$1:$B$6279,0)),"",INDIRECT("'SorP'!$A$"&amp;MATCH($S631&amp;$J631,SorP!C:C,0))))</f>
        <v/>
      </c>
      <c r="U631" s="194"/>
      <c r="V631" s="218" t="e">
        <f>IF(C631="",NA(),IF(OR(C631="Smelter not listed",C631="Smelter not yet identified"),MATCH($B631&amp;$D631,'Smelter Look-up'!$J:$J,0),MATCH($B631&amp;$C631,'Smelter Look-up'!$J:$J,0)))</f>
        <v>#N/A</v>
      </c>
      <c r="X631" s="219">
        <f t="shared" ca="1" si="88"/>
        <v>0</v>
      </c>
      <c r="AB631" s="220" t="str">
        <f t="shared" si="89"/>
        <v/>
      </c>
    </row>
    <row r="632" spans="1:28" s="219" customFormat="1" ht="20.25">
      <c r="A632" s="174"/>
      <c r="B632" s="175" t="str">
        <f>IF(LEN(A632)=0,"",INDEX('Smelter Look-up'!$A:$A,MATCH($A632,'Smelter Look-up'!$E:$E,0)))</f>
        <v/>
      </c>
      <c r="C632" s="179" t="str">
        <f>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87"/>
        <v/>
      </c>
      <c r="T632" s="174" t="str">
        <f ca="1">IF(B632="","",IF(ISERROR(MATCH($J632,SorP!$B$1:$B$6279,0)),"",INDIRECT("'SorP'!$A$"&amp;MATCH($S632&amp;$J632,SorP!C:C,0))))</f>
        <v/>
      </c>
      <c r="U632" s="194"/>
      <c r="V632" s="218" t="e">
        <f>IF(C632="",NA(),IF(OR(C632="Smelter not listed",C632="Smelter not yet identified"),MATCH($B632&amp;$D632,'Smelter Look-up'!$J:$J,0),MATCH($B632&amp;$C632,'Smelter Look-up'!$J:$J,0)))</f>
        <v>#N/A</v>
      </c>
      <c r="X632" s="219">
        <f t="shared" ca="1" si="88"/>
        <v>0</v>
      </c>
      <c r="AB632" s="220" t="str">
        <f t="shared" si="89"/>
        <v/>
      </c>
    </row>
    <row r="633" spans="1:28" s="219" customFormat="1" ht="20.25">
      <c r="A633" s="174"/>
      <c r="B633" s="175" t="str">
        <f>IF(LEN(A633)=0,"",INDEX('Smelter Look-up'!$A:$A,MATCH($A633,'Smelter Look-up'!$E:$E,0)))</f>
        <v/>
      </c>
      <c r="C633" s="179" t="str">
        <f>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87"/>
        <v/>
      </c>
      <c r="T633" s="174" t="str">
        <f ca="1">IF(B633="","",IF(ISERROR(MATCH($J633,SorP!$B$1:$B$6279,0)),"",INDIRECT("'SorP'!$A$"&amp;MATCH($S633&amp;$J633,SorP!C:C,0))))</f>
        <v/>
      </c>
      <c r="U633" s="194"/>
      <c r="V633" s="218" t="e">
        <f>IF(C633="",NA(),IF(OR(C633="Smelter not listed",C633="Smelter not yet identified"),MATCH($B633&amp;$D633,'Smelter Look-up'!$J:$J,0),MATCH($B633&amp;$C633,'Smelter Look-up'!$J:$J,0)))</f>
        <v>#N/A</v>
      </c>
      <c r="X633" s="219">
        <f t="shared" ca="1" si="88"/>
        <v>0</v>
      </c>
      <c r="AB633" s="220" t="str">
        <f t="shared" si="89"/>
        <v/>
      </c>
    </row>
    <row r="634" spans="1:28" s="219" customFormat="1" ht="20.25">
      <c r="A634" s="174"/>
      <c r="B634" s="175" t="str">
        <f>IF(LEN(A634)=0,"",INDEX('Smelter Look-up'!$A:$A,MATCH($A634,'Smelter Look-up'!$E:$E,0)))</f>
        <v/>
      </c>
      <c r="C634" s="179" t="str">
        <f>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ca="1" si="87"/>
        <v/>
      </c>
      <c r="T634" s="174" t="str">
        <f ca="1">IF(B634="","",IF(ISERROR(MATCH($J634,SorP!$B$1:$B$6279,0)),"",INDIRECT("'SorP'!$A$"&amp;MATCH($S634&amp;$J634,SorP!C:C,0))))</f>
        <v/>
      </c>
      <c r="U634" s="194"/>
      <c r="V634" s="218" t="e">
        <f>IF(C634="",NA(),IF(OR(C634="Smelter not listed",C634="Smelter not yet identified"),MATCH($B634&amp;$D634,'Smelter Look-up'!$J:$J,0),MATCH($B634&amp;$C634,'Smelter Look-up'!$J:$J,0)))</f>
        <v>#N/A</v>
      </c>
      <c r="X634" s="219">
        <f t="shared" ca="1" si="88"/>
        <v>0</v>
      </c>
      <c r="AB634" s="220" t="str">
        <f t="shared" si="89"/>
        <v/>
      </c>
    </row>
    <row r="635" spans="1:28" s="219" customFormat="1" ht="20.25">
      <c r="A635" s="174"/>
      <c r="B635" s="175" t="str">
        <f>IF(LEN(A635)=0,"",INDEX('Smelter Look-up'!$A:$A,MATCH($A635,'Smelter Look-up'!$E:$E,0)))</f>
        <v/>
      </c>
      <c r="C635" s="179" t="str">
        <f>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ref="S635" ca="1" si="90">IF(B635="","",IF(ISERROR(MATCH($E635,CL,0)),"Unknown",INDIRECT("'C'!$A$"&amp;MATCH($E635,CL,0)+1)))</f>
        <v/>
      </c>
      <c r="T635" s="174" t="str">
        <f ca="1">IF(B635="","",IF(ISERROR(MATCH($J635,SorP!$B$1:$B$6279,0)),"",INDIRECT("'SorP'!$A$"&amp;MATCH($S635&amp;$J635,SorP!C:C,0))))</f>
        <v/>
      </c>
      <c r="U635" s="194"/>
      <c r="V635" s="218" t="e">
        <f>IF(C635="",NA(),IF(OR(C635="Smelter not listed",C635="Smelter not yet identified"),MATCH($B635&amp;$D635,'Smelter Look-up'!$J:$J,0),MATCH($B635&amp;$C635,'Smelter Look-up'!$J:$J,0)))</f>
        <v>#N/A</v>
      </c>
      <c r="X635" s="219">
        <f t="shared" ref="X635" ca="1" si="91">IF(AND(C635="Smelter not listed",OR(LEN(D635)=0,LEN(E635)=0)),1,0)</f>
        <v>0</v>
      </c>
      <c r="AB635" s="220" t="str">
        <f t="shared" ref="AB635" si="92">B635&amp;C635</f>
        <v/>
      </c>
    </row>
    <row r="636" spans="1:28" s="219" customFormat="1" ht="20.25">
      <c r="A636" s="174"/>
      <c r="B636" s="175" t="str">
        <f>IF(LEN(A636)=0,"",INDEX('Smelter Look-up'!$A:$A,MATCH($A636,'Smelter Look-up'!$E:$E,0)))</f>
        <v/>
      </c>
      <c r="C636" s="179" t="str">
        <f>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ref="S636:S667" ca="1" si="93">IF(B636="","",IF(ISERROR(MATCH($E636,CL,0)),"Unknown",INDIRECT("'C'!$A$"&amp;MATCH($E636,CL,0)+1)))</f>
        <v/>
      </c>
      <c r="T636" s="174" t="str">
        <f ca="1">IF(B636="","",IF(ISERROR(MATCH($J636,SorP!$B$1:$B$6279,0)),"",INDIRECT("'SorP'!$A$"&amp;MATCH($S636&amp;$J636,SorP!C:C,0))))</f>
        <v/>
      </c>
      <c r="U636" s="194"/>
      <c r="V636" s="218" t="e">
        <f>IF(C636="",NA(),IF(OR(C636="Smelter not listed",C636="Smelter not yet identified"),MATCH($B636&amp;$D636,'Smelter Look-up'!$J:$J,0),MATCH($B636&amp;$C636,'Smelter Look-up'!$J:$J,0)))</f>
        <v>#N/A</v>
      </c>
      <c r="X636" s="219">
        <f t="shared" ref="X636:X667" ca="1" si="94">IF(AND(C636="Smelter not listed",OR(LEN(D636)=0,LEN(E636)=0)),1,0)</f>
        <v>0</v>
      </c>
      <c r="AB636" s="220" t="str">
        <f t="shared" ref="AB636:AB667" si="95">B636&amp;C636</f>
        <v/>
      </c>
    </row>
    <row r="637" spans="1:28" s="219" customFormat="1" ht="20.25">
      <c r="A637" s="174"/>
      <c r="B637" s="175" t="str">
        <f>IF(LEN(A637)=0,"",INDEX('Smelter Look-up'!$A:$A,MATCH($A637,'Smelter Look-up'!$E:$E,0)))</f>
        <v/>
      </c>
      <c r="C637" s="179" t="str">
        <f>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93"/>
        <v/>
      </c>
      <c r="T637" s="174" t="str">
        <f ca="1">IF(B637="","",IF(ISERROR(MATCH($J637,SorP!$B$1:$B$6279,0)),"",INDIRECT("'SorP'!$A$"&amp;MATCH($S637&amp;$J637,SorP!C:C,0))))</f>
        <v/>
      </c>
      <c r="U637" s="194"/>
      <c r="V637" s="218" t="e">
        <f>IF(C637="",NA(),IF(OR(C637="Smelter not listed",C637="Smelter not yet identified"),MATCH($B637&amp;$D637,'Smelter Look-up'!$J:$J,0),MATCH($B637&amp;$C637,'Smelter Look-up'!$J:$J,0)))</f>
        <v>#N/A</v>
      </c>
      <c r="X637" s="219">
        <f t="shared" ca="1" si="94"/>
        <v>0</v>
      </c>
      <c r="AB637" s="220" t="str">
        <f t="shared" si="95"/>
        <v/>
      </c>
    </row>
    <row r="638" spans="1:28" s="219" customFormat="1" ht="20.25">
      <c r="A638" s="174"/>
      <c r="B638" s="175" t="str">
        <f>IF(LEN(A638)=0,"",INDEX('Smelter Look-up'!$A:$A,MATCH($A638,'Smelter Look-up'!$E:$E,0)))</f>
        <v/>
      </c>
      <c r="C638" s="179" t="str">
        <f>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93"/>
        <v/>
      </c>
      <c r="T638" s="174" t="str">
        <f ca="1">IF(B638="","",IF(ISERROR(MATCH($J638,SorP!$B$1:$B$6279,0)),"",INDIRECT("'SorP'!$A$"&amp;MATCH($S638&amp;$J638,SorP!C:C,0))))</f>
        <v/>
      </c>
      <c r="U638" s="194"/>
      <c r="V638" s="218" t="e">
        <f>IF(C638="",NA(),IF(OR(C638="Smelter not listed",C638="Smelter not yet identified"),MATCH($B638&amp;$D638,'Smelter Look-up'!$J:$J,0),MATCH($B638&amp;$C638,'Smelter Look-up'!$J:$J,0)))</f>
        <v>#N/A</v>
      </c>
      <c r="X638" s="219">
        <f t="shared" ca="1" si="94"/>
        <v>0</v>
      </c>
      <c r="AB638" s="220" t="str">
        <f t="shared" si="95"/>
        <v/>
      </c>
    </row>
    <row r="639" spans="1:28" s="219" customFormat="1" ht="20.25">
      <c r="A639" s="174"/>
      <c r="B639" s="175" t="str">
        <f>IF(LEN(A639)=0,"",INDEX('Smelter Look-up'!$A:$A,MATCH($A639,'Smelter Look-up'!$E:$E,0)))</f>
        <v/>
      </c>
      <c r="C639" s="179" t="str">
        <f>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93"/>
        <v/>
      </c>
      <c r="T639" s="174" t="str">
        <f ca="1">IF(B639="","",IF(ISERROR(MATCH($J639,SorP!$B$1:$B$6279,0)),"",INDIRECT("'SorP'!$A$"&amp;MATCH($S639&amp;$J639,SorP!C:C,0))))</f>
        <v/>
      </c>
      <c r="U639" s="194"/>
      <c r="V639" s="218" t="e">
        <f>IF(C639="",NA(),IF(OR(C639="Smelter not listed",C639="Smelter not yet identified"),MATCH($B639&amp;$D639,'Smelter Look-up'!$J:$J,0),MATCH($B639&amp;$C639,'Smelter Look-up'!$J:$J,0)))</f>
        <v>#N/A</v>
      </c>
      <c r="X639" s="219">
        <f t="shared" ca="1" si="94"/>
        <v>0</v>
      </c>
      <c r="AB639" s="220" t="str">
        <f t="shared" si="95"/>
        <v/>
      </c>
    </row>
    <row r="640" spans="1:28" s="219" customFormat="1" ht="20.25">
      <c r="A640" s="174"/>
      <c r="B640" s="175" t="str">
        <f>IF(LEN(A640)=0,"",INDEX('Smelter Look-up'!$A:$A,MATCH($A640,'Smelter Look-up'!$E:$E,0)))</f>
        <v/>
      </c>
      <c r="C640" s="179" t="str">
        <f>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93"/>
        <v/>
      </c>
      <c r="T640" s="174" t="str">
        <f ca="1">IF(B640="","",IF(ISERROR(MATCH($J640,SorP!$B$1:$B$6279,0)),"",INDIRECT("'SorP'!$A$"&amp;MATCH($S640&amp;$J640,SorP!C:C,0))))</f>
        <v/>
      </c>
      <c r="U640" s="194"/>
      <c r="V640" s="218" t="e">
        <f>IF(C640="",NA(),IF(OR(C640="Smelter not listed",C640="Smelter not yet identified"),MATCH($B640&amp;$D640,'Smelter Look-up'!$J:$J,0),MATCH($B640&amp;$C640,'Smelter Look-up'!$J:$J,0)))</f>
        <v>#N/A</v>
      </c>
      <c r="X640" s="219">
        <f t="shared" ca="1" si="94"/>
        <v>0</v>
      </c>
      <c r="AB640" s="220" t="str">
        <f t="shared" si="95"/>
        <v/>
      </c>
    </row>
    <row r="641" spans="1:28" s="219" customFormat="1" ht="20.25">
      <c r="A641" s="174"/>
      <c r="B641" s="175" t="str">
        <f>IF(LEN(A641)=0,"",INDEX('Smelter Look-up'!$A:$A,MATCH($A641,'Smelter Look-up'!$E:$E,0)))</f>
        <v/>
      </c>
      <c r="C641" s="179" t="str">
        <f>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93"/>
        <v/>
      </c>
      <c r="T641" s="174" t="str">
        <f ca="1">IF(B641="","",IF(ISERROR(MATCH($J641,SorP!$B$1:$B$6279,0)),"",INDIRECT("'SorP'!$A$"&amp;MATCH($S641&amp;$J641,SorP!C:C,0))))</f>
        <v/>
      </c>
      <c r="U641" s="194"/>
      <c r="V641" s="218" t="e">
        <f>IF(C641="",NA(),IF(OR(C641="Smelter not listed",C641="Smelter not yet identified"),MATCH($B641&amp;$D641,'Smelter Look-up'!$J:$J,0),MATCH($B641&amp;$C641,'Smelter Look-up'!$J:$J,0)))</f>
        <v>#N/A</v>
      </c>
      <c r="X641" s="219">
        <f t="shared" ca="1" si="94"/>
        <v>0</v>
      </c>
      <c r="AB641" s="220" t="str">
        <f t="shared" si="95"/>
        <v/>
      </c>
    </row>
    <row r="642" spans="1:28" s="219" customFormat="1" ht="20.25">
      <c r="A642" s="174"/>
      <c r="B642" s="175" t="str">
        <f>IF(LEN(A642)=0,"",INDEX('Smelter Look-up'!$A:$A,MATCH($A642,'Smelter Look-up'!$E:$E,0)))</f>
        <v/>
      </c>
      <c r="C642" s="179" t="str">
        <f>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93"/>
        <v/>
      </c>
      <c r="T642" s="174" t="str">
        <f ca="1">IF(B642="","",IF(ISERROR(MATCH($J642,SorP!$B$1:$B$6279,0)),"",INDIRECT("'SorP'!$A$"&amp;MATCH($S642&amp;$J642,SorP!C:C,0))))</f>
        <v/>
      </c>
      <c r="U642" s="194"/>
      <c r="V642" s="218" t="e">
        <f>IF(C642="",NA(),IF(OR(C642="Smelter not listed",C642="Smelter not yet identified"),MATCH($B642&amp;$D642,'Smelter Look-up'!$J:$J,0),MATCH($B642&amp;$C642,'Smelter Look-up'!$J:$J,0)))</f>
        <v>#N/A</v>
      </c>
      <c r="X642" s="219">
        <f t="shared" ca="1" si="94"/>
        <v>0</v>
      </c>
      <c r="AB642" s="220" t="str">
        <f t="shared" si="95"/>
        <v/>
      </c>
    </row>
    <row r="643" spans="1:28" s="219" customFormat="1" ht="20.25">
      <c r="A643" s="174"/>
      <c r="B643" s="175" t="str">
        <f>IF(LEN(A643)=0,"",INDEX('Smelter Look-up'!$A:$A,MATCH($A643,'Smelter Look-up'!$E:$E,0)))</f>
        <v/>
      </c>
      <c r="C643" s="179" t="str">
        <f>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93"/>
        <v/>
      </c>
      <c r="T643" s="174" t="str">
        <f ca="1">IF(B643="","",IF(ISERROR(MATCH($J643,SorP!$B$1:$B$6279,0)),"",INDIRECT("'SorP'!$A$"&amp;MATCH($S643&amp;$J643,SorP!C:C,0))))</f>
        <v/>
      </c>
      <c r="U643" s="194"/>
      <c r="V643" s="218" t="e">
        <f>IF(C643="",NA(),IF(OR(C643="Smelter not listed",C643="Smelter not yet identified"),MATCH($B643&amp;$D643,'Smelter Look-up'!$J:$J,0),MATCH($B643&amp;$C643,'Smelter Look-up'!$J:$J,0)))</f>
        <v>#N/A</v>
      </c>
      <c r="X643" s="219">
        <f t="shared" ca="1" si="94"/>
        <v>0</v>
      </c>
      <c r="AB643" s="220" t="str">
        <f t="shared" si="95"/>
        <v/>
      </c>
    </row>
    <row r="644" spans="1:28" s="219" customFormat="1" ht="20.25">
      <c r="A644" s="174"/>
      <c r="B644" s="175" t="str">
        <f>IF(LEN(A644)=0,"",INDEX('Smelter Look-up'!$A:$A,MATCH($A644,'Smelter Look-up'!$E:$E,0)))</f>
        <v/>
      </c>
      <c r="C644" s="179" t="str">
        <f>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93"/>
        <v/>
      </c>
      <c r="T644" s="174" t="str">
        <f ca="1">IF(B644="","",IF(ISERROR(MATCH($J644,SorP!$B$1:$B$6279,0)),"",INDIRECT("'SorP'!$A$"&amp;MATCH($S644&amp;$J644,SorP!C:C,0))))</f>
        <v/>
      </c>
      <c r="U644" s="194"/>
      <c r="V644" s="218" t="e">
        <f>IF(C644="",NA(),IF(OR(C644="Smelter not listed",C644="Smelter not yet identified"),MATCH($B644&amp;$D644,'Smelter Look-up'!$J:$J,0),MATCH($B644&amp;$C644,'Smelter Look-up'!$J:$J,0)))</f>
        <v>#N/A</v>
      </c>
      <c r="X644" s="219">
        <f t="shared" ca="1" si="94"/>
        <v>0</v>
      </c>
      <c r="AB644" s="220" t="str">
        <f t="shared" si="95"/>
        <v/>
      </c>
    </row>
    <row r="645" spans="1:28" s="219" customFormat="1" ht="20.25">
      <c r="A645" s="174"/>
      <c r="B645" s="175" t="str">
        <f>IF(LEN(A645)=0,"",INDEX('Smelter Look-up'!$A:$A,MATCH($A645,'Smelter Look-up'!$E:$E,0)))</f>
        <v/>
      </c>
      <c r="C645" s="179" t="str">
        <f>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93"/>
        <v/>
      </c>
      <c r="T645" s="174" t="str">
        <f ca="1">IF(B645="","",IF(ISERROR(MATCH($J645,SorP!$B$1:$B$6279,0)),"",INDIRECT("'SorP'!$A$"&amp;MATCH($S645&amp;$J645,SorP!C:C,0))))</f>
        <v/>
      </c>
      <c r="U645" s="194"/>
      <c r="V645" s="218" t="e">
        <f>IF(C645="",NA(),IF(OR(C645="Smelter not listed",C645="Smelter not yet identified"),MATCH($B645&amp;$D645,'Smelter Look-up'!$J:$J,0),MATCH($B645&amp;$C645,'Smelter Look-up'!$J:$J,0)))</f>
        <v>#N/A</v>
      </c>
      <c r="X645" s="219">
        <f t="shared" ca="1" si="94"/>
        <v>0</v>
      </c>
      <c r="AB645" s="220" t="str">
        <f t="shared" si="95"/>
        <v/>
      </c>
    </row>
    <row r="646" spans="1:28" s="219" customFormat="1" ht="20.25">
      <c r="A646" s="174"/>
      <c r="B646" s="175" t="str">
        <f>IF(LEN(A646)=0,"",INDEX('Smelter Look-up'!$A:$A,MATCH($A646,'Smelter Look-up'!$E:$E,0)))</f>
        <v/>
      </c>
      <c r="C646" s="179" t="str">
        <f>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93"/>
        <v/>
      </c>
      <c r="T646" s="174" t="str">
        <f ca="1">IF(B646="","",IF(ISERROR(MATCH($J646,SorP!$B$1:$B$6279,0)),"",INDIRECT("'SorP'!$A$"&amp;MATCH($S646&amp;$J646,SorP!C:C,0))))</f>
        <v/>
      </c>
      <c r="U646" s="194"/>
      <c r="V646" s="218" t="e">
        <f>IF(C646="",NA(),IF(OR(C646="Smelter not listed",C646="Smelter not yet identified"),MATCH($B646&amp;$D646,'Smelter Look-up'!$J:$J,0),MATCH($B646&amp;$C646,'Smelter Look-up'!$J:$J,0)))</f>
        <v>#N/A</v>
      </c>
      <c r="X646" s="219">
        <f t="shared" ca="1" si="94"/>
        <v>0</v>
      </c>
      <c r="AB646" s="220" t="str">
        <f t="shared" si="95"/>
        <v/>
      </c>
    </row>
    <row r="647" spans="1:28" s="219" customFormat="1" ht="20.25">
      <c r="A647" s="174"/>
      <c r="B647" s="175" t="str">
        <f>IF(LEN(A647)=0,"",INDEX('Smelter Look-up'!$A:$A,MATCH($A647,'Smelter Look-up'!$E:$E,0)))</f>
        <v/>
      </c>
      <c r="C647" s="179" t="str">
        <f>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93"/>
        <v/>
      </c>
      <c r="T647" s="174" t="str">
        <f ca="1">IF(B647="","",IF(ISERROR(MATCH($J647,SorP!$B$1:$B$6279,0)),"",INDIRECT("'SorP'!$A$"&amp;MATCH($S647&amp;$J647,SorP!C:C,0))))</f>
        <v/>
      </c>
      <c r="U647" s="194"/>
      <c r="V647" s="218" t="e">
        <f>IF(C647="",NA(),IF(OR(C647="Smelter not listed",C647="Smelter not yet identified"),MATCH($B647&amp;$D647,'Smelter Look-up'!$J:$J,0),MATCH($B647&amp;$C647,'Smelter Look-up'!$J:$J,0)))</f>
        <v>#N/A</v>
      </c>
      <c r="X647" s="219">
        <f t="shared" ca="1" si="94"/>
        <v>0</v>
      </c>
      <c r="AB647" s="220" t="str">
        <f t="shared" si="95"/>
        <v/>
      </c>
    </row>
    <row r="648" spans="1:28" s="219" customFormat="1" ht="20.25">
      <c r="A648" s="174"/>
      <c r="B648" s="175" t="str">
        <f>IF(LEN(A648)=0,"",INDEX('Smelter Look-up'!$A:$A,MATCH($A648,'Smelter Look-up'!$E:$E,0)))</f>
        <v/>
      </c>
      <c r="C648" s="179" t="str">
        <f>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93"/>
        <v/>
      </c>
      <c r="T648" s="174" t="str">
        <f ca="1">IF(B648="","",IF(ISERROR(MATCH($J648,SorP!$B$1:$B$6279,0)),"",INDIRECT("'SorP'!$A$"&amp;MATCH($S648&amp;$J648,SorP!C:C,0))))</f>
        <v/>
      </c>
      <c r="U648" s="194"/>
      <c r="V648" s="218" t="e">
        <f>IF(C648="",NA(),IF(OR(C648="Smelter not listed",C648="Smelter not yet identified"),MATCH($B648&amp;$D648,'Smelter Look-up'!$J:$J,0),MATCH($B648&amp;$C648,'Smelter Look-up'!$J:$J,0)))</f>
        <v>#N/A</v>
      </c>
      <c r="X648" s="219">
        <f t="shared" ca="1" si="94"/>
        <v>0</v>
      </c>
      <c r="AB648" s="220" t="str">
        <f t="shared" si="95"/>
        <v/>
      </c>
    </row>
    <row r="649" spans="1:28" s="219" customFormat="1" ht="20.25">
      <c r="A649" s="174"/>
      <c r="B649" s="175" t="str">
        <f>IF(LEN(A649)=0,"",INDEX('Smelter Look-up'!$A:$A,MATCH($A649,'Smelter Look-up'!$E:$E,0)))</f>
        <v/>
      </c>
      <c r="C649" s="179" t="str">
        <f>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93"/>
        <v/>
      </c>
      <c r="T649" s="174" t="str">
        <f ca="1">IF(B649="","",IF(ISERROR(MATCH($J649,SorP!$B$1:$B$6279,0)),"",INDIRECT("'SorP'!$A$"&amp;MATCH($S649&amp;$J649,SorP!C:C,0))))</f>
        <v/>
      </c>
      <c r="U649" s="194"/>
      <c r="V649" s="218" t="e">
        <f>IF(C649="",NA(),IF(OR(C649="Smelter not listed",C649="Smelter not yet identified"),MATCH($B649&amp;$D649,'Smelter Look-up'!$J:$J,0),MATCH($B649&amp;$C649,'Smelter Look-up'!$J:$J,0)))</f>
        <v>#N/A</v>
      </c>
      <c r="X649" s="219">
        <f t="shared" ca="1" si="94"/>
        <v>0</v>
      </c>
      <c r="AB649" s="220" t="str">
        <f t="shared" si="95"/>
        <v/>
      </c>
    </row>
    <row r="650" spans="1:28" s="219" customFormat="1" ht="20.25">
      <c r="A650" s="174"/>
      <c r="B650" s="175" t="str">
        <f>IF(LEN(A650)=0,"",INDEX('Smelter Look-up'!$A:$A,MATCH($A650,'Smelter Look-up'!$E:$E,0)))</f>
        <v/>
      </c>
      <c r="C650" s="179" t="str">
        <f>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93"/>
        <v/>
      </c>
      <c r="T650" s="174" t="str">
        <f ca="1">IF(B650="","",IF(ISERROR(MATCH($J650,SorP!$B$1:$B$6279,0)),"",INDIRECT("'SorP'!$A$"&amp;MATCH($S650&amp;$J650,SorP!C:C,0))))</f>
        <v/>
      </c>
      <c r="U650" s="194"/>
      <c r="V650" s="218" t="e">
        <f>IF(C650="",NA(),IF(OR(C650="Smelter not listed",C650="Smelter not yet identified"),MATCH($B650&amp;$D650,'Smelter Look-up'!$J:$J,0),MATCH($B650&amp;$C650,'Smelter Look-up'!$J:$J,0)))</f>
        <v>#N/A</v>
      </c>
      <c r="X650" s="219">
        <f t="shared" ca="1" si="94"/>
        <v>0</v>
      </c>
      <c r="AB650" s="220" t="str">
        <f t="shared" si="95"/>
        <v/>
      </c>
    </row>
    <row r="651" spans="1:28" s="219" customFormat="1" ht="20.25">
      <c r="A651" s="174"/>
      <c r="B651" s="175" t="str">
        <f>IF(LEN(A651)=0,"",INDEX('Smelter Look-up'!$A:$A,MATCH($A651,'Smelter Look-up'!$E:$E,0)))</f>
        <v/>
      </c>
      <c r="C651" s="179" t="str">
        <f>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93"/>
        <v/>
      </c>
      <c r="T651" s="174" t="str">
        <f ca="1">IF(B651="","",IF(ISERROR(MATCH($J651,SorP!$B$1:$B$6279,0)),"",INDIRECT("'SorP'!$A$"&amp;MATCH($S651&amp;$J651,SorP!C:C,0))))</f>
        <v/>
      </c>
      <c r="U651" s="194"/>
      <c r="V651" s="218" t="e">
        <f>IF(C651="",NA(),IF(OR(C651="Smelter not listed",C651="Smelter not yet identified"),MATCH($B651&amp;$D651,'Smelter Look-up'!$J:$J,0),MATCH($B651&amp;$C651,'Smelter Look-up'!$J:$J,0)))</f>
        <v>#N/A</v>
      </c>
      <c r="X651" s="219">
        <f t="shared" ca="1" si="94"/>
        <v>0</v>
      </c>
      <c r="AB651" s="220" t="str">
        <f t="shared" si="95"/>
        <v/>
      </c>
    </row>
    <row r="652" spans="1:28" s="219" customFormat="1" ht="20.25">
      <c r="A652" s="174"/>
      <c r="B652" s="175" t="str">
        <f>IF(LEN(A652)=0,"",INDEX('Smelter Look-up'!$A:$A,MATCH($A652,'Smelter Look-up'!$E:$E,0)))</f>
        <v/>
      </c>
      <c r="C652" s="179" t="str">
        <f>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93"/>
        <v/>
      </c>
      <c r="T652" s="174" t="str">
        <f ca="1">IF(B652="","",IF(ISERROR(MATCH($J652,SorP!$B$1:$B$6279,0)),"",INDIRECT("'SorP'!$A$"&amp;MATCH($S652&amp;$J652,SorP!C:C,0))))</f>
        <v/>
      </c>
      <c r="U652" s="194"/>
      <c r="V652" s="218" t="e">
        <f>IF(C652="",NA(),IF(OR(C652="Smelter not listed",C652="Smelter not yet identified"),MATCH($B652&amp;$D652,'Smelter Look-up'!$J:$J,0),MATCH($B652&amp;$C652,'Smelter Look-up'!$J:$J,0)))</f>
        <v>#N/A</v>
      </c>
      <c r="X652" s="219">
        <f t="shared" ca="1" si="94"/>
        <v>0</v>
      </c>
      <c r="AB652" s="220" t="str">
        <f t="shared" si="95"/>
        <v/>
      </c>
    </row>
    <row r="653" spans="1:28" s="219" customFormat="1" ht="20.25">
      <c r="A653" s="174"/>
      <c r="B653" s="175" t="str">
        <f>IF(LEN(A653)=0,"",INDEX('Smelter Look-up'!$A:$A,MATCH($A653,'Smelter Look-up'!$E:$E,0)))</f>
        <v/>
      </c>
      <c r="C653" s="179" t="str">
        <f>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93"/>
        <v/>
      </c>
      <c r="T653" s="174" t="str">
        <f ca="1">IF(B653="","",IF(ISERROR(MATCH($J653,SorP!$B$1:$B$6279,0)),"",INDIRECT("'SorP'!$A$"&amp;MATCH($S653&amp;$J653,SorP!C:C,0))))</f>
        <v/>
      </c>
      <c r="U653" s="194"/>
      <c r="V653" s="218" t="e">
        <f>IF(C653="",NA(),IF(OR(C653="Smelter not listed",C653="Smelter not yet identified"),MATCH($B653&amp;$D653,'Smelter Look-up'!$J:$J,0),MATCH($B653&amp;$C653,'Smelter Look-up'!$J:$J,0)))</f>
        <v>#N/A</v>
      </c>
      <c r="X653" s="219">
        <f t="shared" ca="1" si="94"/>
        <v>0</v>
      </c>
      <c r="AB653" s="220" t="str">
        <f t="shared" si="95"/>
        <v/>
      </c>
    </row>
    <row r="654" spans="1:28" s="219" customFormat="1" ht="20.25">
      <c r="A654" s="174"/>
      <c r="B654" s="175" t="str">
        <f>IF(LEN(A654)=0,"",INDEX('Smelter Look-up'!$A:$A,MATCH($A654,'Smelter Look-up'!$E:$E,0)))</f>
        <v/>
      </c>
      <c r="C654" s="179" t="str">
        <f>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93"/>
        <v/>
      </c>
      <c r="T654" s="174" t="str">
        <f ca="1">IF(B654="","",IF(ISERROR(MATCH($J654,SorP!$B$1:$B$6279,0)),"",INDIRECT("'SorP'!$A$"&amp;MATCH($S654&amp;$J654,SorP!C:C,0))))</f>
        <v/>
      </c>
      <c r="U654" s="194"/>
      <c r="V654" s="218" t="e">
        <f>IF(C654="",NA(),IF(OR(C654="Smelter not listed",C654="Smelter not yet identified"),MATCH($B654&amp;$D654,'Smelter Look-up'!$J:$J,0),MATCH($B654&amp;$C654,'Smelter Look-up'!$J:$J,0)))</f>
        <v>#N/A</v>
      </c>
      <c r="X654" s="219">
        <f t="shared" ca="1" si="94"/>
        <v>0</v>
      </c>
      <c r="AB654" s="220" t="str">
        <f t="shared" si="95"/>
        <v/>
      </c>
    </row>
    <row r="655" spans="1:28" s="219" customFormat="1" ht="20.25">
      <c r="A655" s="174"/>
      <c r="B655" s="175" t="str">
        <f>IF(LEN(A655)=0,"",INDEX('Smelter Look-up'!$A:$A,MATCH($A655,'Smelter Look-up'!$E:$E,0)))</f>
        <v/>
      </c>
      <c r="C655" s="179" t="str">
        <f>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93"/>
        <v/>
      </c>
      <c r="T655" s="174" t="str">
        <f ca="1">IF(B655="","",IF(ISERROR(MATCH($J655,SorP!$B$1:$B$6279,0)),"",INDIRECT("'SorP'!$A$"&amp;MATCH($S655&amp;$J655,SorP!C:C,0))))</f>
        <v/>
      </c>
      <c r="U655" s="194"/>
      <c r="V655" s="218" t="e">
        <f>IF(C655="",NA(),IF(OR(C655="Smelter not listed",C655="Smelter not yet identified"),MATCH($B655&amp;$D655,'Smelter Look-up'!$J:$J,0),MATCH($B655&amp;$C655,'Smelter Look-up'!$J:$J,0)))</f>
        <v>#N/A</v>
      </c>
      <c r="X655" s="219">
        <f t="shared" ca="1" si="94"/>
        <v>0</v>
      </c>
      <c r="AB655" s="220" t="str">
        <f t="shared" si="95"/>
        <v/>
      </c>
    </row>
    <row r="656" spans="1:28" s="219" customFormat="1" ht="20.25">
      <c r="A656" s="174"/>
      <c r="B656" s="175" t="str">
        <f>IF(LEN(A656)=0,"",INDEX('Smelter Look-up'!$A:$A,MATCH($A656,'Smelter Look-up'!$E:$E,0)))</f>
        <v/>
      </c>
      <c r="C656" s="179" t="str">
        <f>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93"/>
        <v/>
      </c>
      <c r="T656" s="174" t="str">
        <f ca="1">IF(B656="","",IF(ISERROR(MATCH($J656,SorP!$B$1:$B$6279,0)),"",INDIRECT("'SorP'!$A$"&amp;MATCH($S656&amp;$J656,SorP!C:C,0))))</f>
        <v/>
      </c>
      <c r="U656" s="194"/>
      <c r="V656" s="218" t="e">
        <f>IF(C656="",NA(),IF(OR(C656="Smelter not listed",C656="Smelter not yet identified"),MATCH($B656&amp;$D656,'Smelter Look-up'!$J:$J,0),MATCH($B656&amp;$C656,'Smelter Look-up'!$J:$J,0)))</f>
        <v>#N/A</v>
      </c>
      <c r="X656" s="219">
        <f t="shared" ca="1" si="94"/>
        <v>0</v>
      </c>
      <c r="AB656" s="220" t="str">
        <f t="shared" si="95"/>
        <v/>
      </c>
    </row>
    <row r="657" spans="1:28" s="219" customFormat="1" ht="20.25">
      <c r="A657" s="174"/>
      <c r="B657" s="175" t="str">
        <f>IF(LEN(A657)=0,"",INDEX('Smelter Look-up'!$A:$A,MATCH($A657,'Smelter Look-up'!$E:$E,0)))</f>
        <v/>
      </c>
      <c r="C657" s="179" t="str">
        <f>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93"/>
        <v/>
      </c>
      <c r="T657" s="174" t="str">
        <f ca="1">IF(B657="","",IF(ISERROR(MATCH($J657,SorP!$B$1:$B$6279,0)),"",INDIRECT("'SorP'!$A$"&amp;MATCH($S657&amp;$J657,SorP!C:C,0))))</f>
        <v/>
      </c>
      <c r="U657" s="194"/>
      <c r="V657" s="218" t="e">
        <f>IF(C657="",NA(),IF(OR(C657="Smelter not listed",C657="Smelter not yet identified"),MATCH($B657&amp;$D657,'Smelter Look-up'!$J:$J,0),MATCH($B657&amp;$C657,'Smelter Look-up'!$J:$J,0)))</f>
        <v>#N/A</v>
      </c>
      <c r="X657" s="219">
        <f t="shared" ca="1" si="94"/>
        <v>0</v>
      </c>
      <c r="AB657" s="220" t="str">
        <f t="shared" si="95"/>
        <v/>
      </c>
    </row>
    <row r="658" spans="1:28" s="219" customFormat="1" ht="20.25">
      <c r="A658" s="174"/>
      <c r="B658" s="175" t="str">
        <f>IF(LEN(A658)=0,"",INDEX('Smelter Look-up'!$A:$A,MATCH($A658,'Smelter Look-up'!$E:$E,0)))</f>
        <v/>
      </c>
      <c r="C658" s="179" t="str">
        <f>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93"/>
        <v/>
      </c>
      <c r="T658" s="174" t="str">
        <f ca="1">IF(B658="","",IF(ISERROR(MATCH($J658,SorP!$B$1:$B$6279,0)),"",INDIRECT("'SorP'!$A$"&amp;MATCH($S658&amp;$J658,SorP!C:C,0))))</f>
        <v/>
      </c>
      <c r="U658" s="194"/>
      <c r="V658" s="218" t="e">
        <f>IF(C658="",NA(),IF(OR(C658="Smelter not listed",C658="Smelter not yet identified"),MATCH($B658&amp;$D658,'Smelter Look-up'!$J:$J,0),MATCH($B658&amp;$C658,'Smelter Look-up'!$J:$J,0)))</f>
        <v>#N/A</v>
      </c>
      <c r="X658" s="219">
        <f t="shared" ca="1" si="94"/>
        <v>0</v>
      </c>
      <c r="AB658" s="220" t="str">
        <f t="shared" si="95"/>
        <v/>
      </c>
    </row>
    <row r="659" spans="1:28" s="219" customFormat="1" ht="20.25">
      <c r="A659" s="174"/>
      <c r="B659" s="175" t="str">
        <f>IF(LEN(A659)=0,"",INDEX('Smelter Look-up'!$A:$A,MATCH($A659,'Smelter Look-up'!$E:$E,0)))</f>
        <v/>
      </c>
      <c r="C659" s="179" t="str">
        <f>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93"/>
        <v/>
      </c>
      <c r="T659" s="174" t="str">
        <f ca="1">IF(B659="","",IF(ISERROR(MATCH($J659,SorP!$B$1:$B$6279,0)),"",INDIRECT("'SorP'!$A$"&amp;MATCH($S659&amp;$J659,SorP!C:C,0))))</f>
        <v/>
      </c>
      <c r="U659" s="194"/>
      <c r="V659" s="218" t="e">
        <f>IF(C659="",NA(),IF(OR(C659="Smelter not listed",C659="Smelter not yet identified"),MATCH($B659&amp;$D659,'Smelter Look-up'!$J:$J,0),MATCH($B659&amp;$C659,'Smelter Look-up'!$J:$J,0)))</f>
        <v>#N/A</v>
      </c>
      <c r="X659" s="219">
        <f t="shared" ca="1" si="94"/>
        <v>0</v>
      </c>
      <c r="AB659" s="220" t="str">
        <f t="shared" si="95"/>
        <v/>
      </c>
    </row>
    <row r="660" spans="1:28" s="219" customFormat="1" ht="20.25">
      <c r="A660" s="174"/>
      <c r="B660" s="175" t="str">
        <f>IF(LEN(A660)=0,"",INDEX('Smelter Look-up'!$A:$A,MATCH($A660,'Smelter Look-up'!$E:$E,0)))</f>
        <v/>
      </c>
      <c r="C660" s="179" t="str">
        <f>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93"/>
        <v/>
      </c>
      <c r="T660" s="174" t="str">
        <f ca="1">IF(B660="","",IF(ISERROR(MATCH($J660,SorP!$B$1:$B$6279,0)),"",INDIRECT("'SorP'!$A$"&amp;MATCH($S660&amp;$J660,SorP!C:C,0))))</f>
        <v/>
      </c>
      <c r="U660" s="194"/>
      <c r="V660" s="218" t="e">
        <f>IF(C660="",NA(),IF(OR(C660="Smelter not listed",C660="Smelter not yet identified"),MATCH($B660&amp;$D660,'Smelter Look-up'!$J:$J,0),MATCH($B660&amp;$C660,'Smelter Look-up'!$J:$J,0)))</f>
        <v>#N/A</v>
      </c>
      <c r="X660" s="219">
        <f t="shared" ca="1" si="94"/>
        <v>0</v>
      </c>
      <c r="AB660" s="220" t="str">
        <f t="shared" si="95"/>
        <v/>
      </c>
    </row>
    <row r="661" spans="1:28" s="219" customFormat="1" ht="20.25">
      <c r="A661" s="174"/>
      <c r="B661" s="175" t="str">
        <f>IF(LEN(A661)=0,"",INDEX('Smelter Look-up'!$A:$A,MATCH($A661,'Smelter Look-up'!$E:$E,0)))</f>
        <v/>
      </c>
      <c r="C661" s="179" t="str">
        <f>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93"/>
        <v/>
      </c>
      <c r="T661" s="174" t="str">
        <f ca="1">IF(B661="","",IF(ISERROR(MATCH($J661,SorP!$B$1:$B$6279,0)),"",INDIRECT("'SorP'!$A$"&amp;MATCH($S661&amp;$J661,SorP!C:C,0))))</f>
        <v/>
      </c>
      <c r="U661" s="194"/>
      <c r="V661" s="218" t="e">
        <f>IF(C661="",NA(),IF(OR(C661="Smelter not listed",C661="Smelter not yet identified"),MATCH($B661&amp;$D661,'Smelter Look-up'!$J:$J,0),MATCH($B661&amp;$C661,'Smelter Look-up'!$J:$J,0)))</f>
        <v>#N/A</v>
      </c>
      <c r="X661" s="219">
        <f t="shared" ca="1" si="94"/>
        <v>0</v>
      </c>
      <c r="AB661" s="220" t="str">
        <f t="shared" si="95"/>
        <v/>
      </c>
    </row>
    <row r="662" spans="1:28" s="219" customFormat="1" ht="20.25">
      <c r="A662" s="174"/>
      <c r="B662" s="175" t="str">
        <f>IF(LEN(A662)=0,"",INDEX('Smelter Look-up'!$A:$A,MATCH($A662,'Smelter Look-up'!$E:$E,0)))</f>
        <v/>
      </c>
      <c r="C662" s="179" t="str">
        <f>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93"/>
        <v/>
      </c>
      <c r="T662" s="174" t="str">
        <f ca="1">IF(B662="","",IF(ISERROR(MATCH($J662,SorP!$B$1:$B$6279,0)),"",INDIRECT("'SorP'!$A$"&amp;MATCH($S662&amp;$J662,SorP!C:C,0))))</f>
        <v/>
      </c>
      <c r="U662" s="194"/>
      <c r="V662" s="218" t="e">
        <f>IF(C662="",NA(),IF(OR(C662="Smelter not listed",C662="Smelter not yet identified"),MATCH($B662&amp;$D662,'Smelter Look-up'!$J:$J,0),MATCH($B662&amp;$C662,'Smelter Look-up'!$J:$J,0)))</f>
        <v>#N/A</v>
      </c>
      <c r="X662" s="219">
        <f t="shared" ca="1" si="94"/>
        <v>0</v>
      </c>
      <c r="AB662" s="220" t="str">
        <f t="shared" si="95"/>
        <v/>
      </c>
    </row>
    <row r="663" spans="1:28" s="219" customFormat="1" ht="20.25">
      <c r="A663" s="174"/>
      <c r="B663" s="175" t="str">
        <f>IF(LEN(A663)=0,"",INDEX('Smelter Look-up'!$A:$A,MATCH($A663,'Smelter Look-up'!$E:$E,0)))</f>
        <v/>
      </c>
      <c r="C663" s="179" t="str">
        <f>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93"/>
        <v/>
      </c>
      <c r="T663" s="174" t="str">
        <f ca="1">IF(B663="","",IF(ISERROR(MATCH($J663,SorP!$B$1:$B$6279,0)),"",INDIRECT("'SorP'!$A$"&amp;MATCH($S663&amp;$J663,SorP!C:C,0))))</f>
        <v/>
      </c>
      <c r="U663" s="194"/>
      <c r="V663" s="218" t="e">
        <f>IF(C663="",NA(),IF(OR(C663="Smelter not listed",C663="Smelter not yet identified"),MATCH($B663&amp;$D663,'Smelter Look-up'!$J:$J,0),MATCH($B663&amp;$C663,'Smelter Look-up'!$J:$J,0)))</f>
        <v>#N/A</v>
      </c>
      <c r="X663" s="219">
        <f t="shared" ca="1" si="94"/>
        <v>0</v>
      </c>
      <c r="AB663" s="220" t="str">
        <f t="shared" si="95"/>
        <v/>
      </c>
    </row>
    <row r="664" spans="1:28" s="219" customFormat="1" ht="20.25">
      <c r="A664" s="174"/>
      <c r="B664" s="175" t="str">
        <f>IF(LEN(A664)=0,"",INDEX('Smelter Look-up'!$A:$A,MATCH($A664,'Smelter Look-up'!$E:$E,0)))</f>
        <v/>
      </c>
      <c r="C664" s="179" t="str">
        <f>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93"/>
        <v/>
      </c>
      <c r="T664" s="174" t="str">
        <f ca="1">IF(B664="","",IF(ISERROR(MATCH($J664,SorP!$B$1:$B$6279,0)),"",INDIRECT("'SorP'!$A$"&amp;MATCH($S664&amp;$J664,SorP!C:C,0))))</f>
        <v/>
      </c>
      <c r="U664" s="194"/>
      <c r="V664" s="218" t="e">
        <f>IF(C664="",NA(),IF(OR(C664="Smelter not listed",C664="Smelter not yet identified"),MATCH($B664&amp;$D664,'Smelter Look-up'!$J:$J,0),MATCH($B664&amp;$C664,'Smelter Look-up'!$J:$J,0)))</f>
        <v>#N/A</v>
      </c>
      <c r="X664" s="219">
        <f t="shared" ca="1" si="94"/>
        <v>0</v>
      </c>
      <c r="AB664" s="220" t="str">
        <f t="shared" si="95"/>
        <v/>
      </c>
    </row>
    <row r="665" spans="1:28" s="219" customFormat="1" ht="20.25">
      <c r="A665" s="174"/>
      <c r="B665" s="175" t="str">
        <f>IF(LEN(A665)=0,"",INDEX('Smelter Look-up'!$A:$A,MATCH($A665,'Smelter Look-up'!$E:$E,0)))</f>
        <v/>
      </c>
      <c r="C665" s="179" t="str">
        <f>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93"/>
        <v/>
      </c>
      <c r="T665" s="174" t="str">
        <f ca="1">IF(B665="","",IF(ISERROR(MATCH($J665,SorP!$B$1:$B$6279,0)),"",INDIRECT("'SorP'!$A$"&amp;MATCH($S665&amp;$J665,SorP!C:C,0))))</f>
        <v/>
      </c>
      <c r="U665" s="194"/>
      <c r="V665" s="218" t="e">
        <f>IF(C665="",NA(),IF(OR(C665="Smelter not listed",C665="Smelter not yet identified"),MATCH($B665&amp;$D665,'Smelter Look-up'!$J:$J,0),MATCH($B665&amp;$C665,'Smelter Look-up'!$J:$J,0)))</f>
        <v>#N/A</v>
      </c>
      <c r="X665" s="219">
        <f t="shared" ca="1" si="94"/>
        <v>0</v>
      </c>
      <c r="AB665" s="220" t="str">
        <f t="shared" si="95"/>
        <v/>
      </c>
    </row>
    <row r="666" spans="1:28" s="219" customFormat="1" ht="20.25">
      <c r="A666" s="174"/>
      <c r="B666" s="175" t="str">
        <f>IF(LEN(A666)=0,"",INDEX('Smelter Look-up'!$A:$A,MATCH($A666,'Smelter Look-up'!$E:$E,0)))</f>
        <v/>
      </c>
      <c r="C666" s="179" t="str">
        <f>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93"/>
        <v/>
      </c>
      <c r="T666" s="174" t="str">
        <f ca="1">IF(B666="","",IF(ISERROR(MATCH($J666,SorP!$B$1:$B$6279,0)),"",INDIRECT("'SorP'!$A$"&amp;MATCH($S666&amp;$J666,SorP!C:C,0))))</f>
        <v/>
      </c>
      <c r="U666" s="194"/>
      <c r="V666" s="218" t="e">
        <f>IF(C666="",NA(),IF(OR(C666="Smelter not listed",C666="Smelter not yet identified"),MATCH($B666&amp;$D666,'Smelter Look-up'!$J:$J,0),MATCH($B666&amp;$C666,'Smelter Look-up'!$J:$J,0)))</f>
        <v>#N/A</v>
      </c>
      <c r="X666" s="219">
        <f t="shared" ca="1" si="94"/>
        <v>0</v>
      </c>
      <c r="AB666" s="220" t="str">
        <f t="shared" si="95"/>
        <v/>
      </c>
    </row>
    <row r="667" spans="1:28" s="219" customFormat="1" ht="20.25">
      <c r="A667" s="174"/>
      <c r="B667" s="175" t="str">
        <f>IF(LEN(A667)=0,"",INDEX('Smelter Look-up'!$A:$A,MATCH($A667,'Smelter Look-up'!$E:$E,0)))</f>
        <v/>
      </c>
      <c r="C667" s="179" t="str">
        <f>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93"/>
        <v/>
      </c>
      <c r="T667" s="174" t="str">
        <f ca="1">IF(B667="","",IF(ISERROR(MATCH($J667,SorP!$B$1:$B$6279,0)),"",INDIRECT("'SorP'!$A$"&amp;MATCH($S667&amp;$J667,SorP!C:C,0))))</f>
        <v/>
      </c>
      <c r="U667" s="194"/>
      <c r="V667" s="218" t="e">
        <f>IF(C667="",NA(),IF(OR(C667="Smelter not listed",C667="Smelter not yet identified"),MATCH($B667&amp;$D667,'Smelter Look-up'!$J:$J,0),MATCH($B667&amp;$C667,'Smelter Look-up'!$J:$J,0)))</f>
        <v>#N/A</v>
      </c>
      <c r="X667" s="219">
        <f t="shared" ca="1" si="94"/>
        <v>0</v>
      </c>
      <c r="AB667" s="220" t="str">
        <f t="shared" si="95"/>
        <v/>
      </c>
    </row>
    <row r="668" spans="1:28" s="219" customFormat="1" ht="20.25">
      <c r="A668" s="174"/>
      <c r="B668" s="175" t="str">
        <f>IF(LEN(A668)=0,"",INDEX('Smelter Look-up'!$A:$A,MATCH($A668,'Smelter Look-up'!$E:$E,0)))</f>
        <v/>
      </c>
      <c r="C668" s="179" t="str">
        <f>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ref="S668:S698" ca="1" si="96">IF(B668="","",IF(ISERROR(MATCH($E668,CL,0)),"Unknown",INDIRECT("'C'!$A$"&amp;MATCH($E668,CL,0)+1)))</f>
        <v/>
      </c>
      <c r="T668" s="174" t="str">
        <f ca="1">IF(B668="","",IF(ISERROR(MATCH($J668,SorP!$B$1:$B$6279,0)),"",INDIRECT("'SorP'!$A$"&amp;MATCH($S668&amp;$J668,SorP!C:C,0))))</f>
        <v/>
      </c>
      <c r="U668" s="194"/>
      <c r="V668" s="218" t="e">
        <f>IF(C668="",NA(),IF(OR(C668="Smelter not listed",C668="Smelter not yet identified"),MATCH($B668&amp;$D668,'Smelter Look-up'!$J:$J,0),MATCH($B668&amp;$C668,'Smelter Look-up'!$J:$J,0)))</f>
        <v>#N/A</v>
      </c>
      <c r="X668" s="219">
        <f t="shared" ref="X668:X698" ca="1" si="97">IF(AND(C668="Smelter not listed",OR(LEN(D668)=0,LEN(E668)=0)),1,0)</f>
        <v>0</v>
      </c>
      <c r="AB668" s="220" t="str">
        <f t="shared" ref="AB668:AB698" si="98">B668&amp;C668</f>
        <v/>
      </c>
    </row>
    <row r="669" spans="1:28" s="219" customFormat="1" ht="20.25">
      <c r="A669" s="174"/>
      <c r="B669" s="175" t="str">
        <f>IF(LEN(A669)=0,"",INDEX('Smelter Look-up'!$A:$A,MATCH($A669,'Smelter Look-up'!$E:$E,0)))</f>
        <v/>
      </c>
      <c r="C669" s="179" t="str">
        <f>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96"/>
        <v/>
      </c>
      <c r="T669" s="174" t="str">
        <f ca="1">IF(B669="","",IF(ISERROR(MATCH($J669,SorP!$B$1:$B$6279,0)),"",INDIRECT("'SorP'!$A$"&amp;MATCH($S669&amp;$J669,SorP!C:C,0))))</f>
        <v/>
      </c>
      <c r="U669" s="194"/>
      <c r="V669" s="218" t="e">
        <f>IF(C669="",NA(),IF(OR(C669="Smelter not listed",C669="Smelter not yet identified"),MATCH($B669&amp;$D669,'Smelter Look-up'!$J:$J,0),MATCH($B669&amp;$C669,'Smelter Look-up'!$J:$J,0)))</f>
        <v>#N/A</v>
      </c>
      <c r="X669" s="219">
        <f t="shared" ca="1" si="97"/>
        <v>0</v>
      </c>
      <c r="AB669" s="220" t="str">
        <f t="shared" si="98"/>
        <v/>
      </c>
    </row>
    <row r="670" spans="1:28" s="219" customFormat="1" ht="20.25">
      <c r="A670" s="174"/>
      <c r="B670" s="175" t="str">
        <f>IF(LEN(A670)=0,"",INDEX('Smelter Look-up'!$A:$A,MATCH($A670,'Smelter Look-up'!$E:$E,0)))</f>
        <v/>
      </c>
      <c r="C670" s="179" t="str">
        <f>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96"/>
        <v/>
      </c>
      <c r="T670" s="174" t="str">
        <f ca="1">IF(B670="","",IF(ISERROR(MATCH($J670,SorP!$B$1:$B$6279,0)),"",INDIRECT("'SorP'!$A$"&amp;MATCH($S670&amp;$J670,SorP!C:C,0))))</f>
        <v/>
      </c>
      <c r="U670" s="194"/>
      <c r="V670" s="218" t="e">
        <f>IF(C670="",NA(),IF(OR(C670="Smelter not listed",C670="Smelter not yet identified"),MATCH($B670&amp;$D670,'Smelter Look-up'!$J:$J,0),MATCH($B670&amp;$C670,'Smelter Look-up'!$J:$J,0)))</f>
        <v>#N/A</v>
      </c>
      <c r="X670" s="219">
        <f t="shared" ca="1" si="97"/>
        <v>0</v>
      </c>
      <c r="AB670" s="220" t="str">
        <f t="shared" si="98"/>
        <v/>
      </c>
    </row>
    <row r="671" spans="1:28" s="219" customFormat="1" ht="20.25">
      <c r="A671" s="174"/>
      <c r="B671" s="175" t="str">
        <f>IF(LEN(A671)=0,"",INDEX('Smelter Look-up'!$A:$A,MATCH($A671,'Smelter Look-up'!$E:$E,0)))</f>
        <v/>
      </c>
      <c r="C671" s="179" t="str">
        <f>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96"/>
        <v/>
      </c>
      <c r="T671" s="174" t="str">
        <f ca="1">IF(B671="","",IF(ISERROR(MATCH($J671,SorP!$B$1:$B$6279,0)),"",INDIRECT("'SorP'!$A$"&amp;MATCH($S671&amp;$J671,SorP!C:C,0))))</f>
        <v/>
      </c>
      <c r="U671" s="194"/>
      <c r="V671" s="218" t="e">
        <f>IF(C671="",NA(),IF(OR(C671="Smelter not listed",C671="Smelter not yet identified"),MATCH($B671&amp;$D671,'Smelter Look-up'!$J:$J,0),MATCH($B671&amp;$C671,'Smelter Look-up'!$J:$J,0)))</f>
        <v>#N/A</v>
      </c>
      <c r="X671" s="219">
        <f t="shared" ca="1" si="97"/>
        <v>0</v>
      </c>
      <c r="AB671" s="220" t="str">
        <f t="shared" si="98"/>
        <v/>
      </c>
    </row>
    <row r="672" spans="1:28" s="219" customFormat="1" ht="20.25">
      <c r="A672" s="174"/>
      <c r="B672" s="175" t="str">
        <f>IF(LEN(A672)=0,"",INDEX('Smelter Look-up'!$A:$A,MATCH($A672,'Smelter Look-up'!$E:$E,0)))</f>
        <v/>
      </c>
      <c r="C672" s="179" t="str">
        <f>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96"/>
        <v/>
      </c>
      <c r="T672" s="174" t="str">
        <f ca="1">IF(B672="","",IF(ISERROR(MATCH($J672,SorP!$B$1:$B$6279,0)),"",INDIRECT("'SorP'!$A$"&amp;MATCH($S672&amp;$J672,SorP!C:C,0))))</f>
        <v/>
      </c>
      <c r="U672" s="194"/>
      <c r="V672" s="218" t="e">
        <f>IF(C672="",NA(),IF(OR(C672="Smelter not listed",C672="Smelter not yet identified"),MATCH($B672&amp;$D672,'Smelter Look-up'!$J:$J,0),MATCH($B672&amp;$C672,'Smelter Look-up'!$J:$J,0)))</f>
        <v>#N/A</v>
      </c>
      <c r="X672" s="219">
        <f t="shared" ca="1" si="97"/>
        <v>0</v>
      </c>
      <c r="AB672" s="220" t="str">
        <f t="shared" si="98"/>
        <v/>
      </c>
    </row>
    <row r="673" spans="1:28" s="219" customFormat="1" ht="20.25">
      <c r="A673" s="174"/>
      <c r="B673" s="175" t="str">
        <f>IF(LEN(A673)=0,"",INDEX('Smelter Look-up'!$A:$A,MATCH($A673,'Smelter Look-up'!$E:$E,0)))</f>
        <v/>
      </c>
      <c r="C673" s="179" t="str">
        <f>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96"/>
        <v/>
      </c>
      <c r="T673" s="174" t="str">
        <f ca="1">IF(B673="","",IF(ISERROR(MATCH($J673,SorP!$B$1:$B$6279,0)),"",INDIRECT("'SorP'!$A$"&amp;MATCH($S673&amp;$J673,SorP!C:C,0))))</f>
        <v/>
      </c>
      <c r="U673" s="194"/>
      <c r="V673" s="218" t="e">
        <f>IF(C673="",NA(),IF(OR(C673="Smelter not listed",C673="Smelter not yet identified"),MATCH($B673&amp;$D673,'Smelter Look-up'!$J:$J,0),MATCH($B673&amp;$C673,'Smelter Look-up'!$J:$J,0)))</f>
        <v>#N/A</v>
      </c>
      <c r="X673" s="219">
        <f t="shared" ca="1" si="97"/>
        <v>0</v>
      </c>
      <c r="AB673" s="220" t="str">
        <f t="shared" si="98"/>
        <v/>
      </c>
    </row>
    <row r="674" spans="1:28" s="219" customFormat="1" ht="20.25">
      <c r="A674" s="174"/>
      <c r="B674" s="175" t="str">
        <f>IF(LEN(A674)=0,"",INDEX('Smelter Look-up'!$A:$A,MATCH($A674,'Smelter Look-up'!$E:$E,0)))</f>
        <v/>
      </c>
      <c r="C674" s="179" t="str">
        <f>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96"/>
        <v/>
      </c>
      <c r="T674" s="174" t="str">
        <f ca="1">IF(B674="","",IF(ISERROR(MATCH($J674,SorP!$B$1:$B$6279,0)),"",INDIRECT("'SorP'!$A$"&amp;MATCH($S674&amp;$J674,SorP!C:C,0))))</f>
        <v/>
      </c>
      <c r="U674" s="194"/>
      <c r="V674" s="218" t="e">
        <f>IF(C674="",NA(),IF(OR(C674="Smelter not listed",C674="Smelter not yet identified"),MATCH($B674&amp;$D674,'Smelter Look-up'!$J:$J,0),MATCH($B674&amp;$C674,'Smelter Look-up'!$J:$J,0)))</f>
        <v>#N/A</v>
      </c>
      <c r="X674" s="219">
        <f t="shared" ca="1" si="97"/>
        <v>0</v>
      </c>
      <c r="AB674" s="220" t="str">
        <f t="shared" si="98"/>
        <v/>
      </c>
    </row>
    <row r="675" spans="1:28" s="219" customFormat="1" ht="20.25">
      <c r="A675" s="174"/>
      <c r="B675" s="175" t="str">
        <f>IF(LEN(A675)=0,"",INDEX('Smelter Look-up'!$A:$A,MATCH($A675,'Smelter Look-up'!$E:$E,0)))</f>
        <v/>
      </c>
      <c r="C675" s="179" t="str">
        <f>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96"/>
        <v/>
      </c>
      <c r="T675" s="174" t="str">
        <f ca="1">IF(B675="","",IF(ISERROR(MATCH($J675,SorP!$B$1:$B$6279,0)),"",INDIRECT("'SorP'!$A$"&amp;MATCH($S675&amp;$J675,SorP!C:C,0))))</f>
        <v/>
      </c>
      <c r="U675" s="194"/>
      <c r="V675" s="218" t="e">
        <f>IF(C675="",NA(),IF(OR(C675="Smelter not listed",C675="Smelter not yet identified"),MATCH($B675&amp;$D675,'Smelter Look-up'!$J:$J,0),MATCH($B675&amp;$C675,'Smelter Look-up'!$J:$J,0)))</f>
        <v>#N/A</v>
      </c>
      <c r="X675" s="219">
        <f t="shared" ca="1" si="97"/>
        <v>0</v>
      </c>
      <c r="AB675" s="220" t="str">
        <f t="shared" si="98"/>
        <v/>
      </c>
    </row>
    <row r="676" spans="1:28" s="219" customFormat="1" ht="20.25">
      <c r="A676" s="174"/>
      <c r="B676" s="175" t="str">
        <f>IF(LEN(A676)=0,"",INDEX('Smelter Look-up'!$A:$A,MATCH($A676,'Smelter Look-up'!$E:$E,0)))</f>
        <v/>
      </c>
      <c r="C676" s="179" t="str">
        <f>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96"/>
        <v/>
      </c>
      <c r="T676" s="174" t="str">
        <f ca="1">IF(B676="","",IF(ISERROR(MATCH($J676,SorP!$B$1:$B$6279,0)),"",INDIRECT("'SorP'!$A$"&amp;MATCH($S676&amp;$J676,SorP!C:C,0))))</f>
        <v/>
      </c>
      <c r="U676" s="194"/>
      <c r="V676" s="218" t="e">
        <f>IF(C676="",NA(),IF(OR(C676="Smelter not listed",C676="Smelter not yet identified"),MATCH($B676&amp;$D676,'Smelter Look-up'!$J:$J,0),MATCH($B676&amp;$C676,'Smelter Look-up'!$J:$J,0)))</f>
        <v>#N/A</v>
      </c>
      <c r="X676" s="219">
        <f t="shared" ca="1" si="97"/>
        <v>0</v>
      </c>
      <c r="AB676" s="220" t="str">
        <f t="shared" si="98"/>
        <v/>
      </c>
    </row>
    <row r="677" spans="1:28" s="219" customFormat="1" ht="20.25">
      <c r="A677" s="174"/>
      <c r="B677" s="175" t="str">
        <f>IF(LEN(A677)=0,"",INDEX('Smelter Look-up'!$A:$A,MATCH($A677,'Smelter Look-up'!$E:$E,0)))</f>
        <v/>
      </c>
      <c r="C677" s="179" t="str">
        <f>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96"/>
        <v/>
      </c>
      <c r="T677" s="174" t="str">
        <f ca="1">IF(B677="","",IF(ISERROR(MATCH($J677,SorP!$B$1:$B$6279,0)),"",INDIRECT("'SorP'!$A$"&amp;MATCH($S677&amp;$J677,SorP!C:C,0))))</f>
        <v/>
      </c>
      <c r="U677" s="194"/>
      <c r="V677" s="218" t="e">
        <f>IF(C677="",NA(),IF(OR(C677="Smelter not listed",C677="Smelter not yet identified"),MATCH($B677&amp;$D677,'Smelter Look-up'!$J:$J,0),MATCH($B677&amp;$C677,'Smelter Look-up'!$J:$J,0)))</f>
        <v>#N/A</v>
      </c>
      <c r="X677" s="219">
        <f t="shared" ca="1" si="97"/>
        <v>0</v>
      </c>
      <c r="AB677" s="220" t="str">
        <f t="shared" si="98"/>
        <v/>
      </c>
    </row>
    <row r="678" spans="1:28" s="219" customFormat="1" ht="20.25">
      <c r="A678" s="174"/>
      <c r="B678" s="175" t="str">
        <f>IF(LEN(A678)=0,"",INDEX('Smelter Look-up'!$A:$A,MATCH($A678,'Smelter Look-up'!$E:$E,0)))</f>
        <v/>
      </c>
      <c r="C678" s="179" t="str">
        <f>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96"/>
        <v/>
      </c>
      <c r="T678" s="174" t="str">
        <f ca="1">IF(B678="","",IF(ISERROR(MATCH($J678,SorP!$B$1:$B$6279,0)),"",INDIRECT("'SorP'!$A$"&amp;MATCH($S678&amp;$J678,SorP!C:C,0))))</f>
        <v/>
      </c>
      <c r="U678" s="194"/>
      <c r="V678" s="218" t="e">
        <f>IF(C678="",NA(),IF(OR(C678="Smelter not listed",C678="Smelter not yet identified"),MATCH($B678&amp;$D678,'Smelter Look-up'!$J:$J,0),MATCH($B678&amp;$C678,'Smelter Look-up'!$J:$J,0)))</f>
        <v>#N/A</v>
      </c>
      <c r="X678" s="219">
        <f t="shared" ca="1" si="97"/>
        <v>0</v>
      </c>
      <c r="AB678" s="220" t="str">
        <f t="shared" si="98"/>
        <v/>
      </c>
    </row>
    <row r="679" spans="1:28" s="219" customFormat="1" ht="20.25">
      <c r="A679" s="174"/>
      <c r="B679" s="175" t="str">
        <f>IF(LEN(A679)=0,"",INDEX('Smelter Look-up'!$A:$A,MATCH($A679,'Smelter Look-up'!$E:$E,0)))</f>
        <v/>
      </c>
      <c r="C679" s="179" t="str">
        <f>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96"/>
        <v/>
      </c>
      <c r="T679" s="174" t="str">
        <f ca="1">IF(B679="","",IF(ISERROR(MATCH($J679,SorP!$B$1:$B$6279,0)),"",INDIRECT("'SorP'!$A$"&amp;MATCH($S679&amp;$J679,SorP!C:C,0))))</f>
        <v/>
      </c>
      <c r="U679" s="194"/>
      <c r="V679" s="218" t="e">
        <f>IF(C679="",NA(),IF(OR(C679="Smelter not listed",C679="Smelter not yet identified"),MATCH($B679&amp;$D679,'Smelter Look-up'!$J:$J,0),MATCH($B679&amp;$C679,'Smelter Look-up'!$J:$J,0)))</f>
        <v>#N/A</v>
      </c>
      <c r="X679" s="219">
        <f t="shared" ca="1" si="97"/>
        <v>0</v>
      </c>
      <c r="AB679" s="220" t="str">
        <f t="shared" si="98"/>
        <v/>
      </c>
    </row>
    <row r="680" spans="1:28" s="219" customFormat="1" ht="20.25">
      <c r="A680" s="174"/>
      <c r="B680" s="175" t="str">
        <f>IF(LEN(A680)=0,"",INDEX('Smelter Look-up'!$A:$A,MATCH($A680,'Smelter Look-up'!$E:$E,0)))</f>
        <v/>
      </c>
      <c r="C680" s="179" t="str">
        <f>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96"/>
        <v/>
      </c>
      <c r="T680" s="174" t="str">
        <f ca="1">IF(B680="","",IF(ISERROR(MATCH($J680,SorP!$B$1:$B$6279,0)),"",INDIRECT("'SorP'!$A$"&amp;MATCH($S680&amp;$J680,SorP!C:C,0))))</f>
        <v/>
      </c>
      <c r="U680" s="194"/>
      <c r="V680" s="218" t="e">
        <f>IF(C680="",NA(),IF(OR(C680="Smelter not listed",C680="Smelter not yet identified"),MATCH($B680&amp;$D680,'Smelter Look-up'!$J:$J,0),MATCH($B680&amp;$C680,'Smelter Look-up'!$J:$J,0)))</f>
        <v>#N/A</v>
      </c>
      <c r="X680" s="219">
        <f t="shared" ca="1" si="97"/>
        <v>0</v>
      </c>
      <c r="AB680" s="220" t="str">
        <f t="shared" si="98"/>
        <v/>
      </c>
    </row>
    <row r="681" spans="1:28" s="219" customFormat="1" ht="20.25">
      <c r="A681" s="174"/>
      <c r="B681" s="175" t="str">
        <f>IF(LEN(A681)=0,"",INDEX('Smelter Look-up'!$A:$A,MATCH($A681,'Smelter Look-up'!$E:$E,0)))</f>
        <v/>
      </c>
      <c r="C681" s="179" t="str">
        <f>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96"/>
        <v/>
      </c>
      <c r="T681" s="174" t="str">
        <f ca="1">IF(B681="","",IF(ISERROR(MATCH($J681,SorP!$B$1:$B$6279,0)),"",INDIRECT("'SorP'!$A$"&amp;MATCH($S681&amp;$J681,SorP!C:C,0))))</f>
        <v/>
      </c>
      <c r="U681" s="194"/>
      <c r="V681" s="218" t="e">
        <f>IF(C681="",NA(),IF(OR(C681="Smelter not listed",C681="Smelter not yet identified"),MATCH($B681&amp;$D681,'Smelter Look-up'!$J:$J,0),MATCH($B681&amp;$C681,'Smelter Look-up'!$J:$J,0)))</f>
        <v>#N/A</v>
      </c>
      <c r="X681" s="219">
        <f t="shared" ca="1" si="97"/>
        <v>0</v>
      </c>
      <c r="AB681" s="220" t="str">
        <f t="shared" si="98"/>
        <v/>
      </c>
    </row>
    <row r="682" spans="1:28" s="219" customFormat="1" ht="20.25">
      <c r="A682" s="174"/>
      <c r="B682" s="175" t="str">
        <f>IF(LEN(A682)=0,"",INDEX('Smelter Look-up'!$A:$A,MATCH($A682,'Smelter Look-up'!$E:$E,0)))</f>
        <v/>
      </c>
      <c r="C682" s="179" t="str">
        <f>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96"/>
        <v/>
      </c>
      <c r="T682" s="174" t="str">
        <f ca="1">IF(B682="","",IF(ISERROR(MATCH($J682,SorP!$B$1:$B$6279,0)),"",INDIRECT("'SorP'!$A$"&amp;MATCH($S682&amp;$J682,SorP!C:C,0))))</f>
        <v/>
      </c>
      <c r="U682" s="194"/>
      <c r="V682" s="218" t="e">
        <f>IF(C682="",NA(),IF(OR(C682="Smelter not listed",C682="Smelter not yet identified"),MATCH($B682&amp;$D682,'Smelter Look-up'!$J:$J,0),MATCH($B682&amp;$C682,'Smelter Look-up'!$J:$J,0)))</f>
        <v>#N/A</v>
      </c>
      <c r="X682" s="219">
        <f t="shared" ca="1" si="97"/>
        <v>0</v>
      </c>
      <c r="AB682" s="220" t="str">
        <f t="shared" si="98"/>
        <v/>
      </c>
    </row>
    <row r="683" spans="1:28" s="219" customFormat="1" ht="20.25">
      <c r="A683" s="174"/>
      <c r="B683" s="175" t="str">
        <f>IF(LEN(A683)=0,"",INDEX('Smelter Look-up'!$A:$A,MATCH($A683,'Smelter Look-up'!$E:$E,0)))</f>
        <v/>
      </c>
      <c r="C683" s="179" t="str">
        <f>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96"/>
        <v/>
      </c>
      <c r="T683" s="174" t="str">
        <f ca="1">IF(B683="","",IF(ISERROR(MATCH($J683,SorP!$B$1:$B$6279,0)),"",INDIRECT("'SorP'!$A$"&amp;MATCH($S683&amp;$J683,SorP!C:C,0))))</f>
        <v/>
      </c>
      <c r="U683" s="194"/>
      <c r="V683" s="218" t="e">
        <f>IF(C683="",NA(),IF(OR(C683="Smelter not listed",C683="Smelter not yet identified"),MATCH($B683&amp;$D683,'Smelter Look-up'!$J:$J,0),MATCH($B683&amp;$C683,'Smelter Look-up'!$J:$J,0)))</f>
        <v>#N/A</v>
      </c>
      <c r="X683" s="219">
        <f t="shared" ca="1" si="97"/>
        <v>0</v>
      </c>
      <c r="AB683" s="220" t="str">
        <f t="shared" si="98"/>
        <v/>
      </c>
    </row>
    <row r="684" spans="1:28" s="219" customFormat="1" ht="20.25">
      <c r="A684" s="174"/>
      <c r="B684" s="175" t="str">
        <f>IF(LEN(A684)=0,"",INDEX('Smelter Look-up'!$A:$A,MATCH($A684,'Smelter Look-up'!$E:$E,0)))</f>
        <v/>
      </c>
      <c r="C684" s="179" t="str">
        <f>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96"/>
        <v/>
      </c>
      <c r="T684" s="174" t="str">
        <f ca="1">IF(B684="","",IF(ISERROR(MATCH($J684,SorP!$B$1:$B$6279,0)),"",INDIRECT("'SorP'!$A$"&amp;MATCH($S684&amp;$J684,SorP!C:C,0))))</f>
        <v/>
      </c>
      <c r="U684" s="194"/>
      <c r="V684" s="218" t="e">
        <f>IF(C684="",NA(),IF(OR(C684="Smelter not listed",C684="Smelter not yet identified"),MATCH($B684&amp;$D684,'Smelter Look-up'!$J:$J,0),MATCH($B684&amp;$C684,'Smelter Look-up'!$J:$J,0)))</f>
        <v>#N/A</v>
      </c>
      <c r="X684" s="219">
        <f t="shared" ca="1" si="97"/>
        <v>0</v>
      </c>
      <c r="AB684" s="220" t="str">
        <f t="shared" si="98"/>
        <v/>
      </c>
    </row>
    <row r="685" spans="1:28" s="219" customFormat="1" ht="20.25">
      <c r="A685" s="174"/>
      <c r="B685" s="175" t="str">
        <f>IF(LEN(A685)=0,"",INDEX('Smelter Look-up'!$A:$A,MATCH($A685,'Smelter Look-up'!$E:$E,0)))</f>
        <v/>
      </c>
      <c r="C685" s="179" t="str">
        <f>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96"/>
        <v/>
      </c>
      <c r="T685" s="174" t="str">
        <f ca="1">IF(B685="","",IF(ISERROR(MATCH($J685,SorP!$B$1:$B$6279,0)),"",INDIRECT("'SorP'!$A$"&amp;MATCH($S685&amp;$J685,SorP!C:C,0))))</f>
        <v/>
      </c>
      <c r="U685" s="194"/>
      <c r="V685" s="218" t="e">
        <f>IF(C685="",NA(),IF(OR(C685="Smelter not listed",C685="Smelter not yet identified"),MATCH($B685&amp;$D685,'Smelter Look-up'!$J:$J,0),MATCH($B685&amp;$C685,'Smelter Look-up'!$J:$J,0)))</f>
        <v>#N/A</v>
      </c>
      <c r="X685" s="219">
        <f t="shared" ca="1" si="97"/>
        <v>0</v>
      </c>
      <c r="AB685" s="220" t="str">
        <f t="shared" si="98"/>
        <v/>
      </c>
    </row>
    <row r="686" spans="1:28" s="219" customFormat="1" ht="20.25">
      <c r="A686" s="174"/>
      <c r="B686" s="175" t="str">
        <f>IF(LEN(A686)=0,"",INDEX('Smelter Look-up'!$A:$A,MATCH($A686,'Smelter Look-up'!$E:$E,0)))</f>
        <v/>
      </c>
      <c r="C686" s="179" t="str">
        <f>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96"/>
        <v/>
      </c>
      <c r="T686" s="174" t="str">
        <f ca="1">IF(B686="","",IF(ISERROR(MATCH($J686,SorP!$B$1:$B$6279,0)),"",INDIRECT("'SorP'!$A$"&amp;MATCH($S686&amp;$J686,SorP!C:C,0))))</f>
        <v/>
      </c>
      <c r="U686" s="194"/>
      <c r="V686" s="218" t="e">
        <f>IF(C686="",NA(),IF(OR(C686="Smelter not listed",C686="Smelter not yet identified"),MATCH($B686&amp;$D686,'Smelter Look-up'!$J:$J,0),MATCH($B686&amp;$C686,'Smelter Look-up'!$J:$J,0)))</f>
        <v>#N/A</v>
      </c>
      <c r="X686" s="219">
        <f t="shared" ca="1" si="97"/>
        <v>0</v>
      </c>
      <c r="AB686" s="220" t="str">
        <f t="shared" si="98"/>
        <v/>
      </c>
    </row>
    <row r="687" spans="1:28" s="219" customFormat="1" ht="20.25">
      <c r="A687" s="174"/>
      <c r="B687" s="175" t="str">
        <f>IF(LEN(A687)=0,"",INDEX('Smelter Look-up'!$A:$A,MATCH($A687,'Smelter Look-up'!$E:$E,0)))</f>
        <v/>
      </c>
      <c r="C687" s="179" t="str">
        <f>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96"/>
        <v/>
      </c>
      <c r="T687" s="174" t="str">
        <f ca="1">IF(B687="","",IF(ISERROR(MATCH($J687,SorP!$B$1:$B$6279,0)),"",INDIRECT("'SorP'!$A$"&amp;MATCH($S687&amp;$J687,SorP!C:C,0))))</f>
        <v/>
      </c>
      <c r="U687" s="194"/>
      <c r="V687" s="218" t="e">
        <f>IF(C687="",NA(),IF(OR(C687="Smelter not listed",C687="Smelter not yet identified"),MATCH($B687&amp;$D687,'Smelter Look-up'!$J:$J,0),MATCH($B687&amp;$C687,'Smelter Look-up'!$J:$J,0)))</f>
        <v>#N/A</v>
      </c>
      <c r="X687" s="219">
        <f t="shared" ca="1" si="97"/>
        <v>0</v>
      </c>
      <c r="AB687" s="220" t="str">
        <f t="shared" si="98"/>
        <v/>
      </c>
    </row>
    <row r="688" spans="1:28" s="219" customFormat="1" ht="20.25">
      <c r="A688" s="174"/>
      <c r="B688" s="175" t="str">
        <f>IF(LEN(A688)=0,"",INDEX('Smelter Look-up'!$A:$A,MATCH($A688,'Smelter Look-up'!$E:$E,0)))</f>
        <v/>
      </c>
      <c r="C688" s="179" t="str">
        <f>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96"/>
        <v/>
      </c>
      <c r="T688" s="174" t="str">
        <f ca="1">IF(B688="","",IF(ISERROR(MATCH($J688,SorP!$B$1:$B$6279,0)),"",INDIRECT("'SorP'!$A$"&amp;MATCH($S688&amp;$J688,SorP!C:C,0))))</f>
        <v/>
      </c>
      <c r="U688" s="194"/>
      <c r="V688" s="218" t="e">
        <f>IF(C688="",NA(),IF(OR(C688="Smelter not listed",C688="Smelter not yet identified"),MATCH($B688&amp;$D688,'Smelter Look-up'!$J:$J,0),MATCH($B688&amp;$C688,'Smelter Look-up'!$J:$J,0)))</f>
        <v>#N/A</v>
      </c>
      <c r="X688" s="219">
        <f t="shared" ca="1" si="97"/>
        <v>0</v>
      </c>
      <c r="AB688" s="220" t="str">
        <f t="shared" si="98"/>
        <v/>
      </c>
    </row>
    <row r="689" spans="1:28" s="219" customFormat="1" ht="20.25">
      <c r="A689" s="174"/>
      <c r="B689" s="175" t="str">
        <f>IF(LEN(A689)=0,"",INDEX('Smelter Look-up'!$A:$A,MATCH($A689,'Smelter Look-up'!$E:$E,0)))</f>
        <v/>
      </c>
      <c r="C689" s="179" t="str">
        <f>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96"/>
        <v/>
      </c>
      <c r="T689" s="174" t="str">
        <f ca="1">IF(B689="","",IF(ISERROR(MATCH($J689,SorP!$B$1:$B$6279,0)),"",INDIRECT("'SorP'!$A$"&amp;MATCH($S689&amp;$J689,SorP!C:C,0))))</f>
        <v/>
      </c>
      <c r="U689" s="194"/>
      <c r="V689" s="218" t="e">
        <f>IF(C689="",NA(),IF(OR(C689="Smelter not listed",C689="Smelter not yet identified"),MATCH($B689&amp;$D689,'Smelter Look-up'!$J:$J,0),MATCH($B689&amp;$C689,'Smelter Look-up'!$J:$J,0)))</f>
        <v>#N/A</v>
      </c>
      <c r="X689" s="219">
        <f t="shared" ca="1" si="97"/>
        <v>0</v>
      </c>
      <c r="AB689" s="220" t="str">
        <f t="shared" si="98"/>
        <v/>
      </c>
    </row>
    <row r="690" spans="1:28" s="219" customFormat="1" ht="20.25">
      <c r="A690" s="174"/>
      <c r="B690" s="175" t="str">
        <f>IF(LEN(A690)=0,"",INDEX('Smelter Look-up'!$A:$A,MATCH($A690,'Smelter Look-up'!$E:$E,0)))</f>
        <v/>
      </c>
      <c r="C690" s="179" t="str">
        <f>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96"/>
        <v/>
      </c>
      <c r="T690" s="174" t="str">
        <f ca="1">IF(B690="","",IF(ISERROR(MATCH($J690,SorP!$B$1:$B$6279,0)),"",INDIRECT("'SorP'!$A$"&amp;MATCH($S690&amp;$J690,SorP!C:C,0))))</f>
        <v/>
      </c>
      <c r="U690" s="194"/>
      <c r="V690" s="218" t="e">
        <f>IF(C690="",NA(),IF(OR(C690="Smelter not listed",C690="Smelter not yet identified"),MATCH($B690&amp;$D690,'Smelter Look-up'!$J:$J,0),MATCH($B690&amp;$C690,'Smelter Look-up'!$J:$J,0)))</f>
        <v>#N/A</v>
      </c>
      <c r="X690" s="219">
        <f t="shared" ca="1" si="97"/>
        <v>0</v>
      </c>
      <c r="AB690" s="220" t="str">
        <f t="shared" si="98"/>
        <v/>
      </c>
    </row>
    <row r="691" spans="1:28" s="219" customFormat="1" ht="20.25">
      <c r="A691" s="174"/>
      <c r="B691" s="175" t="str">
        <f>IF(LEN(A691)=0,"",INDEX('Smelter Look-up'!$A:$A,MATCH($A691,'Smelter Look-up'!$E:$E,0)))</f>
        <v/>
      </c>
      <c r="C691" s="179" t="str">
        <f>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96"/>
        <v/>
      </c>
      <c r="T691" s="174" t="str">
        <f ca="1">IF(B691="","",IF(ISERROR(MATCH($J691,SorP!$B$1:$B$6279,0)),"",INDIRECT("'SorP'!$A$"&amp;MATCH($S691&amp;$J691,SorP!C:C,0))))</f>
        <v/>
      </c>
      <c r="U691" s="194"/>
      <c r="V691" s="218" t="e">
        <f>IF(C691="",NA(),IF(OR(C691="Smelter not listed",C691="Smelter not yet identified"),MATCH($B691&amp;$D691,'Smelter Look-up'!$J:$J,0),MATCH($B691&amp;$C691,'Smelter Look-up'!$J:$J,0)))</f>
        <v>#N/A</v>
      </c>
      <c r="X691" s="219">
        <f t="shared" ca="1" si="97"/>
        <v>0</v>
      </c>
      <c r="AB691" s="220" t="str">
        <f t="shared" si="98"/>
        <v/>
      </c>
    </row>
    <row r="692" spans="1:28" s="219" customFormat="1" ht="20.25">
      <c r="A692" s="174"/>
      <c r="B692" s="175" t="str">
        <f>IF(LEN(A692)=0,"",INDEX('Smelter Look-up'!$A:$A,MATCH($A692,'Smelter Look-up'!$E:$E,0)))</f>
        <v/>
      </c>
      <c r="C692" s="179" t="str">
        <f>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96"/>
        <v/>
      </c>
      <c r="T692" s="174" t="str">
        <f ca="1">IF(B692="","",IF(ISERROR(MATCH($J692,SorP!$B$1:$B$6279,0)),"",INDIRECT("'SorP'!$A$"&amp;MATCH($S692&amp;$J692,SorP!C:C,0))))</f>
        <v/>
      </c>
      <c r="U692" s="194"/>
      <c r="V692" s="218" t="e">
        <f>IF(C692="",NA(),IF(OR(C692="Smelter not listed",C692="Smelter not yet identified"),MATCH($B692&amp;$D692,'Smelter Look-up'!$J:$J,0),MATCH($B692&amp;$C692,'Smelter Look-up'!$J:$J,0)))</f>
        <v>#N/A</v>
      </c>
      <c r="X692" s="219">
        <f t="shared" ca="1" si="97"/>
        <v>0</v>
      </c>
      <c r="AB692" s="220" t="str">
        <f t="shared" si="98"/>
        <v/>
      </c>
    </row>
    <row r="693" spans="1:28" s="219" customFormat="1" ht="20.25">
      <c r="A693" s="174"/>
      <c r="B693" s="175" t="str">
        <f>IF(LEN(A693)=0,"",INDEX('Smelter Look-up'!$A:$A,MATCH($A693,'Smelter Look-up'!$E:$E,0)))</f>
        <v/>
      </c>
      <c r="C693" s="179" t="str">
        <f>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96"/>
        <v/>
      </c>
      <c r="T693" s="174" t="str">
        <f ca="1">IF(B693="","",IF(ISERROR(MATCH($J693,SorP!$B$1:$B$6279,0)),"",INDIRECT("'SorP'!$A$"&amp;MATCH($S693&amp;$J693,SorP!C:C,0))))</f>
        <v/>
      </c>
      <c r="U693" s="194"/>
      <c r="V693" s="218" t="e">
        <f>IF(C693="",NA(),IF(OR(C693="Smelter not listed",C693="Smelter not yet identified"),MATCH($B693&amp;$D693,'Smelter Look-up'!$J:$J,0),MATCH($B693&amp;$C693,'Smelter Look-up'!$J:$J,0)))</f>
        <v>#N/A</v>
      </c>
      <c r="X693" s="219">
        <f t="shared" ca="1" si="97"/>
        <v>0</v>
      </c>
      <c r="AB693" s="220" t="str">
        <f t="shared" si="98"/>
        <v/>
      </c>
    </row>
    <row r="694" spans="1:28" s="219" customFormat="1" ht="20.25">
      <c r="A694" s="174"/>
      <c r="B694" s="175" t="str">
        <f>IF(LEN(A694)=0,"",INDEX('Smelter Look-up'!$A:$A,MATCH($A694,'Smelter Look-up'!$E:$E,0)))</f>
        <v/>
      </c>
      <c r="C694" s="179" t="str">
        <f>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96"/>
        <v/>
      </c>
      <c r="T694" s="174" t="str">
        <f ca="1">IF(B694="","",IF(ISERROR(MATCH($J694,SorP!$B$1:$B$6279,0)),"",INDIRECT("'SorP'!$A$"&amp;MATCH($S694&amp;$J694,SorP!C:C,0))))</f>
        <v/>
      </c>
      <c r="U694" s="194"/>
      <c r="V694" s="218" t="e">
        <f>IF(C694="",NA(),IF(OR(C694="Smelter not listed",C694="Smelter not yet identified"),MATCH($B694&amp;$D694,'Smelter Look-up'!$J:$J,0),MATCH($B694&amp;$C694,'Smelter Look-up'!$J:$J,0)))</f>
        <v>#N/A</v>
      </c>
      <c r="X694" s="219">
        <f t="shared" ca="1" si="97"/>
        <v>0</v>
      </c>
      <c r="AB694" s="220" t="str">
        <f t="shared" si="98"/>
        <v/>
      </c>
    </row>
    <row r="695" spans="1:28" s="219" customFormat="1" ht="20.25">
      <c r="A695" s="174"/>
      <c r="B695" s="175" t="str">
        <f>IF(LEN(A695)=0,"",INDEX('Smelter Look-up'!$A:$A,MATCH($A695,'Smelter Look-up'!$E:$E,0)))</f>
        <v/>
      </c>
      <c r="C695" s="179" t="str">
        <f>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96"/>
        <v/>
      </c>
      <c r="T695" s="174" t="str">
        <f ca="1">IF(B695="","",IF(ISERROR(MATCH($J695,SorP!$B$1:$B$6279,0)),"",INDIRECT("'SorP'!$A$"&amp;MATCH($S695&amp;$J695,SorP!C:C,0))))</f>
        <v/>
      </c>
      <c r="U695" s="194"/>
      <c r="V695" s="218" t="e">
        <f>IF(C695="",NA(),IF(OR(C695="Smelter not listed",C695="Smelter not yet identified"),MATCH($B695&amp;$D695,'Smelter Look-up'!$J:$J,0),MATCH($B695&amp;$C695,'Smelter Look-up'!$J:$J,0)))</f>
        <v>#N/A</v>
      </c>
      <c r="X695" s="219">
        <f t="shared" ca="1" si="97"/>
        <v>0</v>
      </c>
      <c r="AB695" s="220" t="str">
        <f t="shared" si="98"/>
        <v/>
      </c>
    </row>
    <row r="696" spans="1:28" s="219" customFormat="1" ht="20.25">
      <c r="A696" s="174"/>
      <c r="B696" s="175" t="str">
        <f>IF(LEN(A696)=0,"",INDEX('Smelter Look-up'!$A:$A,MATCH($A696,'Smelter Look-up'!$E:$E,0)))</f>
        <v/>
      </c>
      <c r="C696" s="179" t="str">
        <f>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96"/>
        <v/>
      </c>
      <c r="T696" s="174" t="str">
        <f ca="1">IF(B696="","",IF(ISERROR(MATCH($J696,SorP!$B$1:$B$6279,0)),"",INDIRECT("'SorP'!$A$"&amp;MATCH($S696&amp;$J696,SorP!C:C,0))))</f>
        <v/>
      </c>
      <c r="U696" s="194"/>
      <c r="V696" s="218" t="e">
        <f>IF(C696="",NA(),IF(OR(C696="Smelter not listed",C696="Smelter not yet identified"),MATCH($B696&amp;$D696,'Smelter Look-up'!$J:$J,0),MATCH($B696&amp;$C696,'Smelter Look-up'!$J:$J,0)))</f>
        <v>#N/A</v>
      </c>
      <c r="X696" s="219">
        <f t="shared" ca="1" si="97"/>
        <v>0</v>
      </c>
      <c r="AB696" s="220" t="str">
        <f t="shared" si="98"/>
        <v/>
      </c>
    </row>
    <row r="697" spans="1:28" s="219" customFormat="1" ht="20.25">
      <c r="A697" s="174"/>
      <c r="B697" s="175" t="str">
        <f>IF(LEN(A697)=0,"",INDEX('Smelter Look-up'!$A:$A,MATCH($A697,'Smelter Look-up'!$E:$E,0)))</f>
        <v/>
      </c>
      <c r="C697" s="179" t="str">
        <f>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96"/>
        <v/>
      </c>
      <c r="T697" s="174" t="str">
        <f ca="1">IF(B697="","",IF(ISERROR(MATCH($J697,SorP!$B$1:$B$6279,0)),"",INDIRECT("'SorP'!$A$"&amp;MATCH($S697&amp;$J697,SorP!C:C,0))))</f>
        <v/>
      </c>
      <c r="U697" s="194"/>
      <c r="V697" s="218" t="e">
        <f>IF(C697="",NA(),IF(OR(C697="Smelter not listed",C697="Smelter not yet identified"),MATCH($B697&amp;$D697,'Smelter Look-up'!$J:$J,0),MATCH($B697&amp;$C697,'Smelter Look-up'!$J:$J,0)))</f>
        <v>#N/A</v>
      </c>
      <c r="X697" s="219">
        <f t="shared" ca="1" si="97"/>
        <v>0</v>
      </c>
      <c r="AB697" s="220" t="str">
        <f t="shared" si="98"/>
        <v/>
      </c>
    </row>
    <row r="698" spans="1:28" s="219" customFormat="1" ht="20.25">
      <c r="A698" s="174"/>
      <c r="B698" s="175" t="str">
        <f>IF(LEN(A698)=0,"",INDEX('Smelter Look-up'!$A:$A,MATCH($A698,'Smelter Look-up'!$E:$E,0)))</f>
        <v/>
      </c>
      <c r="C698" s="179" t="str">
        <f>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ca="1" si="96"/>
        <v/>
      </c>
      <c r="T698" s="174" t="str">
        <f ca="1">IF(B698="","",IF(ISERROR(MATCH($J698,SorP!$B$1:$B$6279,0)),"",INDIRECT("'SorP'!$A$"&amp;MATCH($S698&amp;$J698,SorP!C:C,0))))</f>
        <v/>
      </c>
      <c r="U698" s="194"/>
      <c r="V698" s="218" t="e">
        <f>IF(C698="",NA(),IF(OR(C698="Smelter not listed",C698="Smelter not yet identified"),MATCH($B698&amp;$D698,'Smelter Look-up'!$J:$J,0),MATCH($B698&amp;$C698,'Smelter Look-up'!$J:$J,0)))</f>
        <v>#N/A</v>
      </c>
      <c r="X698" s="219">
        <f t="shared" ca="1" si="97"/>
        <v>0</v>
      </c>
      <c r="AB698" s="220" t="str">
        <f t="shared" si="98"/>
        <v/>
      </c>
    </row>
    <row r="699" spans="1:28" s="219" customFormat="1" ht="20.25">
      <c r="A699" s="174"/>
      <c r="B699" s="175" t="str">
        <f>IF(LEN(A699)=0,"",INDEX('Smelter Look-up'!$A:$A,MATCH($A699,'Smelter Look-up'!$E:$E,0)))</f>
        <v/>
      </c>
      <c r="C699" s="179" t="str">
        <f>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ref="S699" ca="1" si="99">IF(B699="","",IF(ISERROR(MATCH($E699,CL,0)),"Unknown",INDIRECT("'C'!$A$"&amp;MATCH($E699,CL,0)+1)))</f>
        <v/>
      </c>
      <c r="T699" s="174" t="str">
        <f ca="1">IF(B699="","",IF(ISERROR(MATCH($J699,SorP!$B$1:$B$6279,0)),"",INDIRECT("'SorP'!$A$"&amp;MATCH($S699&amp;$J699,SorP!C:C,0))))</f>
        <v/>
      </c>
      <c r="U699" s="194"/>
      <c r="V699" s="218" t="e">
        <f>IF(C699="",NA(),IF(OR(C699="Smelter not listed",C699="Smelter not yet identified"),MATCH($B699&amp;$D699,'Smelter Look-up'!$J:$J,0),MATCH($B699&amp;$C699,'Smelter Look-up'!$J:$J,0)))</f>
        <v>#N/A</v>
      </c>
      <c r="X699" s="219">
        <f t="shared" ref="X699" ca="1" si="100">IF(AND(C699="Smelter not listed",OR(LEN(D699)=0,LEN(E699)=0)),1,0)</f>
        <v>0</v>
      </c>
      <c r="AB699" s="220" t="str">
        <f t="shared" ref="AB699" si="101">B699&amp;C699</f>
        <v/>
      </c>
    </row>
    <row r="700" spans="1:28" s="219" customFormat="1" ht="20.25">
      <c r="A700" s="174"/>
      <c r="B700" s="175" t="str">
        <f>IF(LEN(A700)=0,"",INDEX('Smelter Look-up'!$A:$A,MATCH($A700,'Smelter Look-up'!$E:$E,0)))</f>
        <v/>
      </c>
      <c r="C700" s="179" t="str">
        <f>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ref="S700:S731" ca="1" si="102">IF(B700="","",IF(ISERROR(MATCH($E700,CL,0)),"Unknown",INDIRECT("'C'!$A$"&amp;MATCH($E700,CL,0)+1)))</f>
        <v/>
      </c>
      <c r="T700" s="174" t="str">
        <f ca="1">IF(B700="","",IF(ISERROR(MATCH($J700,SorP!$B$1:$B$6279,0)),"",INDIRECT("'SorP'!$A$"&amp;MATCH($S700&amp;$J700,SorP!C:C,0))))</f>
        <v/>
      </c>
      <c r="U700" s="194"/>
      <c r="V700" s="218" t="e">
        <f>IF(C700="",NA(),IF(OR(C700="Smelter not listed",C700="Smelter not yet identified"),MATCH($B700&amp;$D700,'Smelter Look-up'!$J:$J,0),MATCH($B700&amp;$C700,'Smelter Look-up'!$J:$J,0)))</f>
        <v>#N/A</v>
      </c>
      <c r="X700" s="219">
        <f t="shared" ref="X700:X731" ca="1" si="103">IF(AND(C700="Smelter not listed",OR(LEN(D700)=0,LEN(E700)=0)),1,0)</f>
        <v>0</v>
      </c>
      <c r="AB700" s="220" t="str">
        <f t="shared" ref="AB700:AB731" si="104">B700&amp;C700</f>
        <v/>
      </c>
    </row>
    <row r="701" spans="1:28" s="219" customFormat="1" ht="20.25">
      <c r="A701" s="174"/>
      <c r="B701" s="175" t="str">
        <f>IF(LEN(A701)=0,"",INDEX('Smelter Look-up'!$A:$A,MATCH($A701,'Smelter Look-up'!$E:$E,0)))</f>
        <v/>
      </c>
      <c r="C701" s="179" t="str">
        <f>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02"/>
        <v/>
      </c>
      <c r="T701" s="174" t="str">
        <f ca="1">IF(B701="","",IF(ISERROR(MATCH($J701,SorP!$B$1:$B$6279,0)),"",INDIRECT("'SorP'!$A$"&amp;MATCH($S701&amp;$J701,SorP!C:C,0))))</f>
        <v/>
      </c>
      <c r="U701" s="194"/>
      <c r="V701" s="218" t="e">
        <f>IF(C701="",NA(),IF(OR(C701="Smelter not listed",C701="Smelter not yet identified"),MATCH($B701&amp;$D701,'Smelter Look-up'!$J:$J,0),MATCH($B701&amp;$C701,'Smelter Look-up'!$J:$J,0)))</f>
        <v>#N/A</v>
      </c>
      <c r="X701" s="219">
        <f t="shared" ca="1" si="103"/>
        <v>0</v>
      </c>
      <c r="AB701" s="220" t="str">
        <f t="shared" si="104"/>
        <v/>
      </c>
    </row>
    <row r="702" spans="1:28" s="219" customFormat="1" ht="20.25">
      <c r="A702" s="174"/>
      <c r="B702" s="175" t="str">
        <f>IF(LEN(A702)=0,"",INDEX('Smelter Look-up'!$A:$A,MATCH($A702,'Smelter Look-up'!$E:$E,0)))</f>
        <v/>
      </c>
      <c r="C702" s="179" t="str">
        <f>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02"/>
        <v/>
      </c>
      <c r="T702" s="174" t="str">
        <f ca="1">IF(B702="","",IF(ISERROR(MATCH($J702,SorP!$B$1:$B$6279,0)),"",INDIRECT("'SorP'!$A$"&amp;MATCH($S702&amp;$J702,SorP!C:C,0))))</f>
        <v/>
      </c>
      <c r="U702" s="194"/>
      <c r="V702" s="218" t="e">
        <f>IF(C702="",NA(),IF(OR(C702="Smelter not listed",C702="Smelter not yet identified"),MATCH($B702&amp;$D702,'Smelter Look-up'!$J:$J,0),MATCH($B702&amp;$C702,'Smelter Look-up'!$J:$J,0)))</f>
        <v>#N/A</v>
      </c>
      <c r="X702" s="219">
        <f t="shared" ca="1" si="103"/>
        <v>0</v>
      </c>
      <c r="AB702" s="220" t="str">
        <f t="shared" si="104"/>
        <v/>
      </c>
    </row>
    <row r="703" spans="1:28" s="219" customFormat="1" ht="20.25">
      <c r="A703" s="174"/>
      <c r="B703" s="175" t="str">
        <f>IF(LEN(A703)=0,"",INDEX('Smelter Look-up'!$A:$A,MATCH($A703,'Smelter Look-up'!$E:$E,0)))</f>
        <v/>
      </c>
      <c r="C703" s="179" t="str">
        <f>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02"/>
        <v/>
      </c>
      <c r="T703" s="174" t="str">
        <f ca="1">IF(B703="","",IF(ISERROR(MATCH($J703,SorP!$B$1:$B$6279,0)),"",INDIRECT("'SorP'!$A$"&amp;MATCH($S703&amp;$J703,SorP!C:C,0))))</f>
        <v/>
      </c>
      <c r="U703" s="194"/>
      <c r="V703" s="218" t="e">
        <f>IF(C703="",NA(),IF(OR(C703="Smelter not listed",C703="Smelter not yet identified"),MATCH($B703&amp;$D703,'Smelter Look-up'!$J:$J,0),MATCH($B703&amp;$C703,'Smelter Look-up'!$J:$J,0)))</f>
        <v>#N/A</v>
      </c>
      <c r="X703" s="219">
        <f t="shared" ca="1" si="103"/>
        <v>0</v>
      </c>
      <c r="AB703" s="220" t="str">
        <f t="shared" si="104"/>
        <v/>
      </c>
    </row>
    <row r="704" spans="1:28" s="219" customFormat="1" ht="20.25">
      <c r="A704" s="174"/>
      <c r="B704" s="175" t="str">
        <f>IF(LEN(A704)=0,"",INDEX('Smelter Look-up'!$A:$A,MATCH($A704,'Smelter Look-up'!$E:$E,0)))</f>
        <v/>
      </c>
      <c r="C704" s="179" t="str">
        <f>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02"/>
        <v/>
      </c>
      <c r="T704" s="174" t="str">
        <f ca="1">IF(B704="","",IF(ISERROR(MATCH($J704,SorP!$B$1:$B$6279,0)),"",INDIRECT("'SorP'!$A$"&amp;MATCH($S704&amp;$J704,SorP!C:C,0))))</f>
        <v/>
      </c>
      <c r="U704" s="194"/>
      <c r="V704" s="218" t="e">
        <f>IF(C704="",NA(),IF(OR(C704="Smelter not listed",C704="Smelter not yet identified"),MATCH($B704&amp;$D704,'Smelter Look-up'!$J:$J,0),MATCH($B704&amp;$C704,'Smelter Look-up'!$J:$J,0)))</f>
        <v>#N/A</v>
      </c>
      <c r="X704" s="219">
        <f t="shared" ca="1" si="103"/>
        <v>0</v>
      </c>
      <c r="AB704" s="220" t="str">
        <f t="shared" si="104"/>
        <v/>
      </c>
    </row>
    <row r="705" spans="1:28" s="219" customFormat="1" ht="20.25">
      <c r="A705" s="174"/>
      <c r="B705" s="175" t="str">
        <f>IF(LEN(A705)=0,"",INDEX('Smelter Look-up'!$A:$A,MATCH($A705,'Smelter Look-up'!$E:$E,0)))</f>
        <v/>
      </c>
      <c r="C705" s="179" t="str">
        <f>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02"/>
        <v/>
      </c>
      <c r="T705" s="174" t="str">
        <f ca="1">IF(B705="","",IF(ISERROR(MATCH($J705,SorP!$B$1:$B$6279,0)),"",INDIRECT("'SorP'!$A$"&amp;MATCH($S705&amp;$J705,SorP!C:C,0))))</f>
        <v/>
      </c>
      <c r="U705" s="194"/>
      <c r="V705" s="218" t="e">
        <f>IF(C705="",NA(),IF(OR(C705="Smelter not listed",C705="Smelter not yet identified"),MATCH($B705&amp;$D705,'Smelter Look-up'!$J:$J,0),MATCH($B705&amp;$C705,'Smelter Look-up'!$J:$J,0)))</f>
        <v>#N/A</v>
      </c>
      <c r="X705" s="219">
        <f t="shared" ca="1" si="103"/>
        <v>0</v>
      </c>
      <c r="AB705" s="220" t="str">
        <f t="shared" si="104"/>
        <v/>
      </c>
    </row>
    <row r="706" spans="1:28" s="219" customFormat="1" ht="20.25">
      <c r="A706" s="174"/>
      <c r="B706" s="175" t="str">
        <f>IF(LEN(A706)=0,"",INDEX('Smelter Look-up'!$A:$A,MATCH($A706,'Smelter Look-up'!$E:$E,0)))</f>
        <v/>
      </c>
      <c r="C706" s="179" t="str">
        <f>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02"/>
        <v/>
      </c>
      <c r="T706" s="174" t="str">
        <f ca="1">IF(B706="","",IF(ISERROR(MATCH($J706,SorP!$B$1:$B$6279,0)),"",INDIRECT("'SorP'!$A$"&amp;MATCH($S706&amp;$J706,SorP!C:C,0))))</f>
        <v/>
      </c>
      <c r="U706" s="194"/>
      <c r="V706" s="218" t="e">
        <f>IF(C706="",NA(),IF(OR(C706="Smelter not listed",C706="Smelter not yet identified"),MATCH($B706&amp;$D706,'Smelter Look-up'!$J:$J,0),MATCH($B706&amp;$C706,'Smelter Look-up'!$J:$J,0)))</f>
        <v>#N/A</v>
      </c>
      <c r="X706" s="219">
        <f t="shared" ca="1" si="103"/>
        <v>0</v>
      </c>
      <c r="AB706" s="220" t="str">
        <f t="shared" si="104"/>
        <v/>
      </c>
    </row>
    <row r="707" spans="1:28" s="219" customFormat="1" ht="20.25">
      <c r="A707" s="174"/>
      <c r="B707" s="175" t="str">
        <f>IF(LEN(A707)=0,"",INDEX('Smelter Look-up'!$A:$A,MATCH($A707,'Smelter Look-up'!$E:$E,0)))</f>
        <v/>
      </c>
      <c r="C707" s="179" t="str">
        <f>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02"/>
        <v/>
      </c>
      <c r="T707" s="174" t="str">
        <f ca="1">IF(B707="","",IF(ISERROR(MATCH($J707,SorP!$B$1:$B$6279,0)),"",INDIRECT("'SorP'!$A$"&amp;MATCH($S707&amp;$J707,SorP!C:C,0))))</f>
        <v/>
      </c>
      <c r="U707" s="194"/>
      <c r="V707" s="218" t="e">
        <f>IF(C707="",NA(),IF(OR(C707="Smelter not listed",C707="Smelter not yet identified"),MATCH($B707&amp;$D707,'Smelter Look-up'!$J:$J,0),MATCH($B707&amp;$C707,'Smelter Look-up'!$J:$J,0)))</f>
        <v>#N/A</v>
      </c>
      <c r="X707" s="219">
        <f t="shared" ca="1" si="103"/>
        <v>0</v>
      </c>
      <c r="AB707" s="220" t="str">
        <f t="shared" si="104"/>
        <v/>
      </c>
    </row>
    <row r="708" spans="1:28" s="219" customFormat="1" ht="20.25">
      <c r="A708" s="174"/>
      <c r="B708" s="175" t="str">
        <f>IF(LEN(A708)=0,"",INDEX('Smelter Look-up'!$A:$A,MATCH($A708,'Smelter Look-up'!$E:$E,0)))</f>
        <v/>
      </c>
      <c r="C708" s="179" t="str">
        <f>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02"/>
        <v/>
      </c>
      <c r="T708" s="174" t="str">
        <f ca="1">IF(B708="","",IF(ISERROR(MATCH($J708,SorP!$B$1:$B$6279,0)),"",INDIRECT("'SorP'!$A$"&amp;MATCH($S708&amp;$J708,SorP!C:C,0))))</f>
        <v/>
      </c>
      <c r="U708" s="194"/>
      <c r="V708" s="218" t="e">
        <f>IF(C708="",NA(),IF(OR(C708="Smelter not listed",C708="Smelter not yet identified"),MATCH($B708&amp;$D708,'Smelter Look-up'!$J:$J,0),MATCH($B708&amp;$C708,'Smelter Look-up'!$J:$J,0)))</f>
        <v>#N/A</v>
      </c>
      <c r="X708" s="219">
        <f t="shared" ca="1" si="103"/>
        <v>0</v>
      </c>
      <c r="AB708" s="220" t="str">
        <f t="shared" si="104"/>
        <v/>
      </c>
    </row>
    <row r="709" spans="1:28" s="219" customFormat="1" ht="20.25">
      <c r="A709" s="174"/>
      <c r="B709" s="175" t="str">
        <f>IF(LEN(A709)=0,"",INDEX('Smelter Look-up'!$A:$A,MATCH($A709,'Smelter Look-up'!$E:$E,0)))</f>
        <v/>
      </c>
      <c r="C709" s="179" t="str">
        <f>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02"/>
        <v/>
      </c>
      <c r="T709" s="174" t="str">
        <f ca="1">IF(B709="","",IF(ISERROR(MATCH($J709,SorP!$B$1:$B$6279,0)),"",INDIRECT("'SorP'!$A$"&amp;MATCH($S709&amp;$J709,SorP!C:C,0))))</f>
        <v/>
      </c>
      <c r="U709" s="194"/>
      <c r="V709" s="218" t="e">
        <f>IF(C709="",NA(),IF(OR(C709="Smelter not listed",C709="Smelter not yet identified"),MATCH($B709&amp;$D709,'Smelter Look-up'!$J:$J,0),MATCH($B709&amp;$C709,'Smelter Look-up'!$J:$J,0)))</f>
        <v>#N/A</v>
      </c>
      <c r="X709" s="219">
        <f t="shared" ca="1" si="103"/>
        <v>0</v>
      </c>
      <c r="AB709" s="220" t="str">
        <f t="shared" si="104"/>
        <v/>
      </c>
    </row>
    <row r="710" spans="1:28" s="219" customFormat="1" ht="20.25">
      <c r="A710" s="174"/>
      <c r="B710" s="175" t="str">
        <f>IF(LEN(A710)=0,"",INDEX('Smelter Look-up'!$A:$A,MATCH($A710,'Smelter Look-up'!$E:$E,0)))</f>
        <v/>
      </c>
      <c r="C710" s="179" t="str">
        <f>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02"/>
        <v/>
      </c>
      <c r="T710" s="174" t="str">
        <f ca="1">IF(B710="","",IF(ISERROR(MATCH($J710,SorP!$B$1:$B$6279,0)),"",INDIRECT("'SorP'!$A$"&amp;MATCH($S710&amp;$J710,SorP!C:C,0))))</f>
        <v/>
      </c>
      <c r="U710" s="194"/>
      <c r="V710" s="218" t="e">
        <f>IF(C710="",NA(),IF(OR(C710="Smelter not listed",C710="Smelter not yet identified"),MATCH($B710&amp;$D710,'Smelter Look-up'!$J:$J,0),MATCH($B710&amp;$C710,'Smelter Look-up'!$J:$J,0)))</f>
        <v>#N/A</v>
      </c>
      <c r="X710" s="219">
        <f t="shared" ca="1" si="103"/>
        <v>0</v>
      </c>
      <c r="AB710" s="220" t="str">
        <f t="shared" si="104"/>
        <v/>
      </c>
    </row>
    <row r="711" spans="1:28" s="219" customFormat="1" ht="20.25">
      <c r="A711" s="174"/>
      <c r="B711" s="175" t="str">
        <f>IF(LEN(A711)=0,"",INDEX('Smelter Look-up'!$A:$A,MATCH($A711,'Smelter Look-up'!$E:$E,0)))</f>
        <v/>
      </c>
      <c r="C711" s="179" t="str">
        <f>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02"/>
        <v/>
      </c>
      <c r="T711" s="174" t="str">
        <f ca="1">IF(B711="","",IF(ISERROR(MATCH($J711,SorP!$B$1:$B$6279,0)),"",INDIRECT("'SorP'!$A$"&amp;MATCH($S711&amp;$J711,SorP!C:C,0))))</f>
        <v/>
      </c>
      <c r="U711" s="194"/>
      <c r="V711" s="218" t="e">
        <f>IF(C711="",NA(),IF(OR(C711="Smelter not listed",C711="Smelter not yet identified"),MATCH($B711&amp;$D711,'Smelter Look-up'!$J:$J,0),MATCH($B711&amp;$C711,'Smelter Look-up'!$J:$J,0)))</f>
        <v>#N/A</v>
      </c>
      <c r="X711" s="219">
        <f t="shared" ca="1" si="103"/>
        <v>0</v>
      </c>
      <c r="AB711" s="220" t="str">
        <f t="shared" si="104"/>
        <v/>
      </c>
    </row>
    <row r="712" spans="1:28" s="219" customFormat="1" ht="20.25">
      <c r="A712" s="174"/>
      <c r="B712" s="175" t="str">
        <f>IF(LEN(A712)=0,"",INDEX('Smelter Look-up'!$A:$A,MATCH($A712,'Smelter Look-up'!$E:$E,0)))</f>
        <v/>
      </c>
      <c r="C712" s="179" t="str">
        <f>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02"/>
        <v/>
      </c>
      <c r="T712" s="174" t="str">
        <f ca="1">IF(B712="","",IF(ISERROR(MATCH($J712,SorP!$B$1:$B$6279,0)),"",INDIRECT("'SorP'!$A$"&amp;MATCH($S712&amp;$J712,SorP!C:C,0))))</f>
        <v/>
      </c>
      <c r="U712" s="194"/>
      <c r="V712" s="218" t="e">
        <f>IF(C712="",NA(),IF(OR(C712="Smelter not listed",C712="Smelter not yet identified"),MATCH($B712&amp;$D712,'Smelter Look-up'!$J:$J,0),MATCH($B712&amp;$C712,'Smelter Look-up'!$J:$J,0)))</f>
        <v>#N/A</v>
      </c>
      <c r="X712" s="219">
        <f t="shared" ca="1" si="103"/>
        <v>0</v>
      </c>
      <c r="AB712" s="220" t="str">
        <f t="shared" si="104"/>
        <v/>
      </c>
    </row>
    <row r="713" spans="1:28" s="219" customFormat="1" ht="20.25">
      <c r="A713" s="174"/>
      <c r="B713" s="175" t="str">
        <f>IF(LEN(A713)=0,"",INDEX('Smelter Look-up'!$A:$A,MATCH($A713,'Smelter Look-up'!$E:$E,0)))</f>
        <v/>
      </c>
      <c r="C713" s="179" t="str">
        <f>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02"/>
        <v/>
      </c>
      <c r="T713" s="174" t="str">
        <f ca="1">IF(B713="","",IF(ISERROR(MATCH($J713,SorP!$B$1:$B$6279,0)),"",INDIRECT("'SorP'!$A$"&amp;MATCH($S713&amp;$J713,SorP!C:C,0))))</f>
        <v/>
      </c>
      <c r="U713" s="194"/>
      <c r="V713" s="218" t="e">
        <f>IF(C713="",NA(),IF(OR(C713="Smelter not listed",C713="Smelter not yet identified"),MATCH($B713&amp;$D713,'Smelter Look-up'!$J:$J,0),MATCH($B713&amp;$C713,'Smelter Look-up'!$J:$J,0)))</f>
        <v>#N/A</v>
      </c>
      <c r="X713" s="219">
        <f t="shared" ca="1" si="103"/>
        <v>0</v>
      </c>
      <c r="AB713" s="220" t="str">
        <f t="shared" si="104"/>
        <v/>
      </c>
    </row>
    <row r="714" spans="1:28" s="219" customFormat="1" ht="20.25">
      <c r="A714" s="174"/>
      <c r="B714" s="175" t="str">
        <f>IF(LEN(A714)=0,"",INDEX('Smelter Look-up'!$A:$A,MATCH($A714,'Smelter Look-up'!$E:$E,0)))</f>
        <v/>
      </c>
      <c r="C714" s="179" t="str">
        <f>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02"/>
        <v/>
      </c>
      <c r="T714" s="174" t="str">
        <f ca="1">IF(B714="","",IF(ISERROR(MATCH($J714,SorP!$B$1:$B$6279,0)),"",INDIRECT("'SorP'!$A$"&amp;MATCH($S714&amp;$J714,SorP!C:C,0))))</f>
        <v/>
      </c>
      <c r="U714" s="194"/>
      <c r="V714" s="218" t="e">
        <f>IF(C714="",NA(),IF(OR(C714="Smelter not listed",C714="Smelter not yet identified"),MATCH($B714&amp;$D714,'Smelter Look-up'!$J:$J,0),MATCH($B714&amp;$C714,'Smelter Look-up'!$J:$J,0)))</f>
        <v>#N/A</v>
      </c>
      <c r="X714" s="219">
        <f t="shared" ca="1" si="103"/>
        <v>0</v>
      </c>
      <c r="AB714" s="220" t="str">
        <f t="shared" si="104"/>
        <v/>
      </c>
    </row>
    <row r="715" spans="1:28" s="219" customFormat="1" ht="20.25">
      <c r="A715" s="174"/>
      <c r="B715" s="175" t="str">
        <f>IF(LEN(A715)=0,"",INDEX('Smelter Look-up'!$A:$A,MATCH($A715,'Smelter Look-up'!$E:$E,0)))</f>
        <v/>
      </c>
      <c r="C715" s="179" t="str">
        <f>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02"/>
        <v/>
      </c>
      <c r="T715" s="174" t="str">
        <f ca="1">IF(B715="","",IF(ISERROR(MATCH($J715,SorP!$B$1:$B$6279,0)),"",INDIRECT("'SorP'!$A$"&amp;MATCH($S715&amp;$J715,SorP!C:C,0))))</f>
        <v/>
      </c>
      <c r="U715" s="194"/>
      <c r="V715" s="218" t="e">
        <f>IF(C715="",NA(),IF(OR(C715="Smelter not listed",C715="Smelter not yet identified"),MATCH($B715&amp;$D715,'Smelter Look-up'!$J:$J,0),MATCH($B715&amp;$C715,'Smelter Look-up'!$J:$J,0)))</f>
        <v>#N/A</v>
      </c>
      <c r="X715" s="219">
        <f t="shared" ca="1" si="103"/>
        <v>0</v>
      </c>
      <c r="AB715" s="220" t="str">
        <f t="shared" si="104"/>
        <v/>
      </c>
    </row>
    <row r="716" spans="1:28" s="219" customFormat="1" ht="20.25">
      <c r="A716" s="174"/>
      <c r="B716" s="175" t="str">
        <f>IF(LEN(A716)=0,"",INDEX('Smelter Look-up'!$A:$A,MATCH($A716,'Smelter Look-up'!$E:$E,0)))</f>
        <v/>
      </c>
      <c r="C716" s="179" t="str">
        <f>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02"/>
        <v/>
      </c>
      <c r="T716" s="174" t="str">
        <f ca="1">IF(B716="","",IF(ISERROR(MATCH($J716,SorP!$B$1:$B$6279,0)),"",INDIRECT("'SorP'!$A$"&amp;MATCH($S716&amp;$J716,SorP!C:C,0))))</f>
        <v/>
      </c>
      <c r="U716" s="194"/>
      <c r="V716" s="218" t="e">
        <f>IF(C716="",NA(),IF(OR(C716="Smelter not listed",C716="Smelter not yet identified"),MATCH($B716&amp;$D716,'Smelter Look-up'!$J:$J,0),MATCH($B716&amp;$C716,'Smelter Look-up'!$J:$J,0)))</f>
        <v>#N/A</v>
      </c>
      <c r="X716" s="219">
        <f t="shared" ca="1" si="103"/>
        <v>0</v>
      </c>
      <c r="AB716" s="220" t="str">
        <f t="shared" si="104"/>
        <v/>
      </c>
    </row>
    <row r="717" spans="1:28" s="219" customFormat="1" ht="20.25">
      <c r="A717" s="174"/>
      <c r="B717" s="175" t="str">
        <f>IF(LEN(A717)=0,"",INDEX('Smelter Look-up'!$A:$A,MATCH($A717,'Smelter Look-up'!$E:$E,0)))</f>
        <v/>
      </c>
      <c r="C717" s="179" t="str">
        <f>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02"/>
        <v/>
      </c>
      <c r="T717" s="174" t="str">
        <f ca="1">IF(B717="","",IF(ISERROR(MATCH($J717,SorP!$B$1:$B$6279,0)),"",INDIRECT("'SorP'!$A$"&amp;MATCH($S717&amp;$J717,SorP!C:C,0))))</f>
        <v/>
      </c>
      <c r="U717" s="194"/>
      <c r="V717" s="218" t="e">
        <f>IF(C717="",NA(),IF(OR(C717="Smelter not listed",C717="Smelter not yet identified"),MATCH($B717&amp;$D717,'Smelter Look-up'!$J:$J,0),MATCH($B717&amp;$C717,'Smelter Look-up'!$J:$J,0)))</f>
        <v>#N/A</v>
      </c>
      <c r="X717" s="219">
        <f t="shared" ca="1" si="103"/>
        <v>0</v>
      </c>
      <c r="AB717" s="220" t="str">
        <f t="shared" si="104"/>
        <v/>
      </c>
    </row>
    <row r="718" spans="1:28" s="219" customFormat="1" ht="20.25">
      <c r="A718" s="174"/>
      <c r="B718" s="175" t="str">
        <f>IF(LEN(A718)=0,"",INDEX('Smelter Look-up'!$A:$A,MATCH($A718,'Smelter Look-up'!$E:$E,0)))</f>
        <v/>
      </c>
      <c r="C718" s="179" t="str">
        <f>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02"/>
        <v/>
      </c>
      <c r="T718" s="174" t="str">
        <f ca="1">IF(B718="","",IF(ISERROR(MATCH($J718,SorP!$B$1:$B$6279,0)),"",INDIRECT("'SorP'!$A$"&amp;MATCH($S718&amp;$J718,SorP!C:C,0))))</f>
        <v/>
      </c>
      <c r="U718" s="194"/>
      <c r="V718" s="218" t="e">
        <f>IF(C718="",NA(),IF(OR(C718="Smelter not listed",C718="Smelter not yet identified"),MATCH($B718&amp;$D718,'Smelter Look-up'!$J:$J,0),MATCH($B718&amp;$C718,'Smelter Look-up'!$J:$J,0)))</f>
        <v>#N/A</v>
      </c>
      <c r="X718" s="219">
        <f t="shared" ca="1" si="103"/>
        <v>0</v>
      </c>
      <c r="AB718" s="220" t="str">
        <f t="shared" si="104"/>
        <v/>
      </c>
    </row>
    <row r="719" spans="1:28" s="219" customFormat="1" ht="20.25">
      <c r="A719" s="174"/>
      <c r="B719" s="175" t="str">
        <f>IF(LEN(A719)=0,"",INDEX('Smelter Look-up'!$A:$A,MATCH($A719,'Smelter Look-up'!$E:$E,0)))</f>
        <v/>
      </c>
      <c r="C719" s="179" t="str">
        <f>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02"/>
        <v/>
      </c>
      <c r="T719" s="174" t="str">
        <f ca="1">IF(B719="","",IF(ISERROR(MATCH($J719,SorP!$B$1:$B$6279,0)),"",INDIRECT("'SorP'!$A$"&amp;MATCH($S719&amp;$J719,SorP!C:C,0))))</f>
        <v/>
      </c>
      <c r="U719" s="194"/>
      <c r="V719" s="218" t="e">
        <f>IF(C719="",NA(),IF(OR(C719="Smelter not listed",C719="Smelter not yet identified"),MATCH($B719&amp;$D719,'Smelter Look-up'!$J:$J,0),MATCH($B719&amp;$C719,'Smelter Look-up'!$J:$J,0)))</f>
        <v>#N/A</v>
      </c>
      <c r="X719" s="219">
        <f t="shared" ca="1" si="103"/>
        <v>0</v>
      </c>
      <c r="AB719" s="220" t="str">
        <f t="shared" si="104"/>
        <v/>
      </c>
    </row>
    <row r="720" spans="1:28" s="219" customFormat="1" ht="20.25">
      <c r="A720" s="174"/>
      <c r="B720" s="175" t="str">
        <f>IF(LEN(A720)=0,"",INDEX('Smelter Look-up'!$A:$A,MATCH($A720,'Smelter Look-up'!$E:$E,0)))</f>
        <v/>
      </c>
      <c r="C720" s="179" t="str">
        <f>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02"/>
        <v/>
      </c>
      <c r="T720" s="174" t="str">
        <f ca="1">IF(B720="","",IF(ISERROR(MATCH($J720,SorP!$B$1:$B$6279,0)),"",INDIRECT("'SorP'!$A$"&amp;MATCH($S720&amp;$J720,SorP!C:C,0))))</f>
        <v/>
      </c>
      <c r="U720" s="194"/>
      <c r="V720" s="218" t="e">
        <f>IF(C720="",NA(),IF(OR(C720="Smelter not listed",C720="Smelter not yet identified"),MATCH($B720&amp;$D720,'Smelter Look-up'!$J:$J,0),MATCH($B720&amp;$C720,'Smelter Look-up'!$J:$J,0)))</f>
        <v>#N/A</v>
      </c>
      <c r="X720" s="219">
        <f t="shared" ca="1" si="103"/>
        <v>0</v>
      </c>
      <c r="AB720" s="220" t="str">
        <f t="shared" si="104"/>
        <v/>
      </c>
    </row>
    <row r="721" spans="1:28" s="219" customFormat="1" ht="20.25">
      <c r="A721" s="174"/>
      <c r="B721" s="175" t="str">
        <f>IF(LEN(A721)=0,"",INDEX('Smelter Look-up'!$A:$A,MATCH($A721,'Smelter Look-up'!$E:$E,0)))</f>
        <v/>
      </c>
      <c r="C721" s="179" t="str">
        <f>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02"/>
        <v/>
      </c>
      <c r="T721" s="174" t="str">
        <f ca="1">IF(B721="","",IF(ISERROR(MATCH($J721,SorP!$B$1:$B$6279,0)),"",INDIRECT("'SorP'!$A$"&amp;MATCH($S721&amp;$J721,SorP!C:C,0))))</f>
        <v/>
      </c>
      <c r="U721" s="194"/>
      <c r="V721" s="218" t="e">
        <f>IF(C721="",NA(),IF(OR(C721="Smelter not listed",C721="Smelter not yet identified"),MATCH($B721&amp;$D721,'Smelter Look-up'!$J:$J,0),MATCH($B721&amp;$C721,'Smelter Look-up'!$J:$J,0)))</f>
        <v>#N/A</v>
      </c>
      <c r="X721" s="219">
        <f t="shared" ca="1" si="103"/>
        <v>0</v>
      </c>
      <c r="AB721" s="220" t="str">
        <f t="shared" si="104"/>
        <v/>
      </c>
    </row>
    <row r="722" spans="1:28" s="219" customFormat="1" ht="20.25">
      <c r="A722" s="174"/>
      <c r="B722" s="175" t="str">
        <f>IF(LEN(A722)=0,"",INDEX('Smelter Look-up'!$A:$A,MATCH($A722,'Smelter Look-up'!$E:$E,0)))</f>
        <v/>
      </c>
      <c r="C722" s="179" t="str">
        <f>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102"/>
        <v/>
      </c>
      <c r="T722" s="174" t="str">
        <f ca="1">IF(B722="","",IF(ISERROR(MATCH($J722,SorP!$B$1:$B$6279,0)),"",INDIRECT("'SorP'!$A$"&amp;MATCH($S722&amp;$J722,SorP!C:C,0))))</f>
        <v/>
      </c>
      <c r="U722" s="194"/>
      <c r="V722" s="218" t="e">
        <f>IF(C722="",NA(),IF(OR(C722="Smelter not listed",C722="Smelter not yet identified"),MATCH($B722&amp;$D722,'Smelter Look-up'!$J:$J,0),MATCH($B722&amp;$C722,'Smelter Look-up'!$J:$J,0)))</f>
        <v>#N/A</v>
      </c>
      <c r="X722" s="219">
        <f t="shared" ca="1" si="103"/>
        <v>0</v>
      </c>
      <c r="AB722" s="220" t="str">
        <f t="shared" si="104"/>
        <v/>
      </c>
    </row>
    <row r="723" spans="1:28" s="219" customFormat="1" ht="20.25">
      <c r="A723" s="174"/>
      <c r="B723" s="175" t="str">
        <f>IF(LEN(A723)=0,"",INDEX('Smelter Look-up'!$A:$A,MATCH($A723,'Smelter Look-up'!$E:$E,0)))</f>
        <v/>
      </c>
      <c r="C723" s="179" t="str">
        <f>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102"/>
        <v/>
      </c>
      <c r="T723" s="174" t="str">
        <f ca="1">IF(B723="","",IF(ISERROR(MATCH($J723,SorP!$B$1:$B$6279,0)),"",INDIRECT("'SorP'!$A$"&amp;MATCH($S723&amp;$J723,SorP!C:C,0))))</f>
        <v/>
      </c>
      <c r="U723" s="194"/>
      <c r="V723" s="218" t="e">
        <f>IF(C723="",NA(),IF(OR(C723="Smelter not listed",C723="Smelter not yet identified"),MATCH($B723&amp;$D723,'Smelter Look-up'!$J:$J,0),MATCH($B723&amp;$C723,'Smelter Look-up'!$J:$J,0)))</f>
        <v>#N/A</v>
      </c>
      <c r="X723" s="219">
        <f t="shared" ca="1" si="103"/>
        <v>0</v>
      </c>
      <c r="AB723" s="220" t="str">
        <f t="shared" si="104"/>
        <v/>
      </c>
    </row>
    <row r="724" spans="1:28" s="219" customFormat="1" ht="20.25">
      <c r="A724" s="174"/>
      <c r="B724" s="175" t="str">
        <f>IF(LEN(A724)=0,"",INDEX('Smelter Look-up'!$A:$A,MATCH($A724,'Smelter Look-up'!$E:$E,0)))</f>
        <v/>
      </c>
      <c r="C724" s="179" t="str">
        <f>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02"/>
        <v/>
      </c>
      <c r="T724" s="174" t="str">
        <f ca="1">IF(B724="","",IF(ISERROR(MATCH($J724,SorP!$B$1:$B$6279,0)),"",INDIRECT("'SorP'!$A$"&amp;MATCH($S724&amp;$J724,SorP!C:C,0))))</f>
        <v/>
      </c>
      <c r="U724" s="194"/>
      <c r="V724" s="218" t="e">
        <f>IF(C724="",NA(),IF(OR(C724="Smelter not listed",C724="Smelter not yet identified"),MATCH($B724&amp;$D724,'Smelter Look-up'!$J:$J,0),MATCH($B724&amp;$C724,'Smelter Look-up'!$J:$J,0)))</f>
        <v>#N/A</v>
      </c>
      <c r="X724" s="219">
        <f t="shared" ca="1" si="103"/>
        <v>0</v>
      </c>
      <c r="AB724" s="220" t="str">
        <f t="shared" si="104"/>
        <v/>
      </c>
    </row>
    <row r="725" spans="1:28" s="219" customFormat="1" ht="20.25">
      <c r="A725" s="174"/>
      <c r="B725" s="175" t="str">
        <f>IF(LEN(A725)=0,"",INDEX('Smelter Look-up'!$A:$A,MATCH($A725,'Smelter Look-up'!$E:$E,0)))</f>
        <v/>
      </c>
      <c r="C725" s="179" t="str">
        <f>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02"/>
        <v/>
      </c>
      <c r="T725" s="174" t="str">
        <f ca="1">IF(B725="","",IF(ISERROR(MATCH($J725,SorP!$B$1:$B$6279,0)),"",INDIRECT("'SorP'!$A$"&amp;MATCH($S725&amp;$J725,SorP!C:C,0))))</f>
        <v/>
      </c>
      <c r="U725" s="194"/>
      <c r="V725" s="218" t="e">
        <f>IF(C725="",NA(),IF(OR(C725="Smelter not listed",C725="Smelter not yet identified"),MATCH($B725&amp;$D725,'Smelter Look-up'!$J:$J,0),MATCH($B725&amp;$C725,'Smelter Look-up'!$J:$J,0)))</f>
        <v>#N/A</v>
      </c>
      <c r="X725" s="219">
        <f t="shared" ca="1" si="103"/>
        <v>0</v>
      </c>
      <c r="AB725" s="220" t="str">
        <f t="shared" si="104"/>
        <v/>
      </c>
    </row>
    <row r="726" spans="1:28" s="219" customFormat="1" ht="20.25">
      <c r="A726" s="174"/>
      <c r="B726" s="175" t="str">
        <f>IF(LEN(A726)=0,"",INDEX('Smelter Look-up'!$A:$A,MATCH($A726,'Smelter Look-up'!$E:$E,0)))</f>
        <v/>
      </c>
      <c r="C726" s="179" t="str">
        <f>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02"/>
        <v/>
      </c>
      <c r="T726" s="174" t="str">
        <f ca="1">IF(B726="","",IF(ISERROR(MATCH($J726,SorP!$B$1:$B$6279,0)),"",INDIRECT("'SorP'!$A$"&amp;MATCH($S726&amp;$J726,SorP!C:C,0))))</f>
        <v/>
      </c>
      <c r="U726" s="194"/>
      <c r="V726" s="218" t="e">
        <f>IF(C726="",NA(),IF(OR(C726="Smelter not listed",C726="Smelter not yet identified"),MATCH($B726&amp;$D726,'Smelter Look-up'!$J:$J,0),MATCH($B726&amp;$C726,'Smelter Look-up'!$J:$J,0)))</f>
        <v>#N/A</v>
      </c>
      <c r="X726" s="219">
        <f t="shared" ca="1" si="103"/>
        <v>0</v>
      </c>
      <c r="AB726" s="220" t="str">
        <f t="shared" si="104"/>
        <v/>
      </c>
    </row>
    <row r="727" spans="1:28" s="219" customFormat="1" ht="20.25">
      <c r="A727" s="174"/>
      <c r="B727" s="175" t="str">
        <f>IF(LEN(A727)=0,"",INDEX('Smelter Look-up'!$A:$A,MATCH($A727,'Smelter Look-up'!$E:$E,0)))</f>
        <v/>
      </c>
      <c r="C727" s="179" t="str">
        <f>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02"/>
        <v/>
      </c>
      <c r="T727" s="174" t="str">
        <f ca="1">IF(B727="","",IF(ISERROR(MATCH($J727,SorP!$B$1:$B$6279,0)),"",INDIRECT("'SorP'!$A$"&amp;MATCH($S727&amp;$J727,SorP!C:C,0))))</f>
        <v/>
      </c>
      <c r="U727" s="194"/>
      <c r="V727" s="218" t="e">
        <f>IF(C727="",NA(),IF(OR(C727="Smelter not listed",C727="Smelter not yet identified"),MATCH($B727&amp;$D727,'Smelter Look-up'!$J:$J,0),MATCH($B727&amp;$C727,'Smelter Look-up'!$J:$J,0)))</f>
        <v>#N/A</v>
      </c>
      <c r="X727" s="219">
        <f t="shared" ca="1" si="103"/>
        <v>0</v>
      </c>
      <c r="AB727" s="220" t="str">
        <f t="shared" si="104"/>
        <v/>
      </c>
    </row>
    <row r="728" spans="1:28" s="219" customFormat="1" ht="20.25">
      <c r="A728" s="174"/>
      <c r="B728" s="175" t="str">
        <f>IF(LEN(A728)=0,"",INDEX('Smelter Look-up'!$A:$A,MATCH($A728,'Smelter Look-up'!$E:$E,0)))</f>
        <v/>
      </c>
      <c r="C728" s="179" t="str">
        <f>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02"/>
        <v/>
      </c>
      <c r="T728" s="174" t="str">
        <f ca="1">IF(B728="","",IF(ISERROR(MATCH($J728,SorP!$B$1:$B$6279,0)),"",INDIRECT("'SorP'!$A$"&amp;MATCH($S728&amp;$J728,SorP!C:C,0))))</f>
        <v/>
      </c>
      <c r="U728" s="194"/>
      <c r="V728" s="218" t="e">
        <f>IF(C728="",NA(),IF(OR(C728="Smelter not listed",C728="Smelter not yet identified"),MATCH($B728&amp;$D728,'Smelter Look-up'!$J:$J,0),MATCH($B728&amp;$C728,'Smelter Look-up'!$J:$J,0)))</f>
        <v>#N/A</v>
      </c>
      <c r="X728" s="219">
        <f t="shared" ca="1" si="103"/>
        <v>0</v>
      </c>
      <c r="AB728" s="220" t="str">
        <f t="shared" si="104"/>
        <v/>
      </c>
    </row>
    <row r="729" spans="1:28" s="219" customFormat="1" ht="20.25">
      <c r="A729" s="174"/>
      <c r="B729" s="175" t="str">
        <f>IF(LEN(A729)=0,"",INDEX('Smelter Look-up'!$A:$A,MATCH($A729,'Smelter Look-up'!$E:$E,0)))</f>
        <v/>
      </c>
      <c r="C729" s="179" t="str">
        <f>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02"/>
        <v/>
      </c>
      <c r="T729" s="174" t="str">
        <f ca="1">IF(B729="","",IF(ISERROR(MATCH($J729,SorP!$B$1:$B$6279,0)),"",INDIRECT("'SorP'!$A$"&amp;MATCH($S729&amp;$J729,SorP!C:C,0))))</f>
        <v/>
      </c>
      <c r="U729" s="194"/>
      <c r="V729" s="218" t="e">
        <f>IF(C729="",NA(),IF(OR(C729="Smelter not listed",C729="Smelter not yet identified"),MATCH($B729&amp;$D729,'Smelter Look-up'!$J:$J,0),MATCH($B729&amp;$C729,'Smelter Look-up'!$J:$J,0)))</f>
        <v>#N/A</v>
      </c>
      <c r="X729" s="219">
        <f t="shared" ca="1" si="103"/>
        <v>0</v>
      </c>
      <c r="AB729" s="220" t="str">
        <f t="shared" si="104"/>
        <v/>
      </c>
    </row>
    <row r="730" spans="1:28" s="219" customFormat="1" ht="20.25">
      <c r="A730" s="174"/>
      <c r="B730" s="175" t="str">
        <f>IF(LEN(A730)=0,"",INDEX('Smelter Look-up'!$A:$A,MATCH($A730,'Smelter Look-up'!$E:$E,0)))</f>
        <v/>
      </c>
      <c r="C730" s="179" t="str">
        <f>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102"/>
        <v/>
      </c>
      <c r="T730" s="174" t="str">
        <f ca="1">IF(B730="","",IF(ISERROR(MATCH($J730,SorP!$B$1:$B$6279,0)),"",INDIRECT("'SorP'!$A$"&amp;MATCH($S730&amp;$J730,SorP!C:C,0))))</f>
        <v/>
      </c>
      <c r="U730" s="194"/>
      <c r="V730" s="218" t="e">
        <f>IF(C730="",NA(),IF(OR(C730="Smelter not listed",C730="Smelter not yet identified"),MATCH($B730&amp;$D730,'Smelter Look-up'!$J:$J,0),MATCH($B730&amp;$C730,'Smelter Look-up'!$J:$J,0)))</f>
        <v>#N/A</v>
      </c>
      <c r="X730" s="219">
        <f t="shared" ca="1" si="103"/>
        <v>0</v>
      </c>
      <c r="AB730" s="220" t="str">
        <f t="shared" si="104"/>
        <v/>
      </c>
    </row>
    <row r="731" spans="1:28" s="219" customFormat="1" ht="20.25">
      <c r="A731" s="174"/>
      <c r="B731" s="175" t="str">
        <f>IF(LEN(A731)=0,"",INDEX('Smelter Look-up'!$A:$A,MATCH($A731,'Smelter Look-up'!$E:$E,0)))</f>
        <v/>
      </c>
      <c r="C731" s="179" t="str">
        <f>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102"/>
        <v/>
      </c>
      <c r="T731" s="174" t="str">
        <f ca="1">IF(B731="","",IF(ISERROR(MATCH($J731,SorP!$B$1:$B$6279,0)),"",INDIRECT("'SorP'!$A$"&amp;MATCH($S731&amp;$J731,SorP!C:C,0))))</f>
        <v/>
      </c>
      <c r="U731" s="194"/>
      <c r="V731" s="218" t="e">
        <f>IF(C731="",NA(),IF(OR(C731="Smelter not listed",C731="Smelter not yet identified"),MATCH($B731&amp;$D731,'Smelter Look-up'!$J:$J,0),MATCH($B731&amp;$C731,'Smelter Look-up'!$J:$J,0)))</f>
        <v>#N/A</v>
      </c>
      <c r="X731" s="219">
        <f t="shared" ca="1" si="103"/>
        <v>0</v>
      </c>
      <c r="AB731" s="220" t="str">
        <f t="shared" si="104"/>
        <v/>
      </c>
    </row>
    <row r="732" spans="1:28" s="219" customFormat="1" ht="20.25">
      <c r="A732" s="174"/>
      <c r="B732" s="175" t="str">
        <f>IF(LEN(A732)=0,"",INDEX('Smelter Look-up'!$A:$A,MATCH($A732,'Smelter Look-up'!$E:$E,0)))</f>
        <v/>
      </c>
      <c r="C732" s="179" t="str">
        <f>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ref="S732:S762" ca="1" si="105">IF(B732="","",IF(ISERROR(MATCH($E732,CL,0)),"Unknown",INDIRECT("'C'!$A$"&amp;MATCH($E732,CL,0)+1)))</f>
        <v/>
      </c>
      <c r="T732" s="174" t="str">
        <f ca="1">IF(B732="","",IF(ISERROR(MATCH($J732,SorP!$B$1:$B$6279,0)),"",INDIRECT("'SorP'!$A$"&amp;MATCH($S732&amp;$J732,SorP!C:C,0))))</f>
        <v/>
      </c>
      <c r="U732" s="194"/>
      <c r="V732" s="218" t="e">
        <f>IF(C732="",NA(),IF(OR(C732="Smelter not listed",C732="Smelter not yet identified"),MATCH($B732&amp;$D732,'Smelter Look-up'!$J:$J,0),MATCH($B732&amp;$C732,'Smelter Look-up'!$J:$J,0)))</f>
        <v>#N/A</v>
      </c>
      <c r="X732" s="219">
        <f t="shared" ref="X732:X762" ca="1" si="106">IF(AND(C732="Smelter not listed",OR(LEN(D732)=0,LEN(E732)=0)),1,0)</f>
        <v>0</v>
      </c>
      <c r="AB732" s="220" t="str">
        <f t="shared" ref="AB732:AB762" si="107">B732&amp;C732</f>
        <v/>
      </c>
    </row>
    <row r="733" spans="1:28" s="219" customFormat="1" ht="20.25">
      <c r="A733" s="174"/>
      <c r="B733" s="175" t="str">
        <f>IF(LEN(A733)=0,"",INDEX('Smelter Look-up'!$A:$A,MATCH($A733,'Smelter Look-up'!$E:$E,0)))</f>
        <v/>
      </c>
      <c r="C733" s="179" t="str">
        <f>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05"/>
        <v/>
      </c>
      <c r="T733" s="174" t="str">
        <f ca="1">IF(B733="","",IF(ISERROR(MATCH($J733,SorP!$B$1:$B$6279,0)),"",INDIRECT("'SorP'!$A$"&amp;MATCH($S733&amp;$J733,SorP!C:C,0))))</f>
        <v/>
      </c>
      <c r="U733" s="194"/>
      <c r="V733" s="218" t="e">
        <f>IF(C733="",NA(),IF(OR(C733="Smelter not listed",C733="Smelter not yet identified"),MATCH($B733&amp;$D733,'Smelter Look-up'!$J:$J,0),MATCH($B733&amp;$C733,'Smelter Look-up'!$J:$J,0)))</f>
        <v>#N/A</v>
      </c>
      <c r="X733" s="219">
        <f t="shared" ca="1" si="106"/>
        <v>0</v>
      </c>
      <c r="AB733" s="220" t="str">
        <f t="shared" si="107"/>
        <v/>
      </c>
    </row>
    <row r="734" spans="1:28" s="219" customFormat="1" ht="20.25">
      <c r="A734" s="174"/>
      <c r="B734" s="175" t="str">
        <f>IF(LEN(A734)=0,"",INDEX('Smelter Look-up'!$A:$A,MATCH($A734,'Smelter Look-up'!$E:$E,0)))</f>
        <v/>
      </c>
      <c r="C734" s="179" t="str">
        <f>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05"/>
        <v/>
      </c>
      <c r="T734" s="174" t="str">
        <f ca="1">IF(B734="","",IF(ISERROR(MATCH($J734,SorP!$B$1:$B$6279,0)),"",INDIRECT("'SorP'!$A$"&amp;MATCH($S734&amp;$J734,SorP!C:C,0))))</f>
        <v/>
      </c>
      <c r="U734" s="194"/>
      <c r="V734" s="218" t="e">
        <f>IF(C734="",NA(),IF(OR(C734="Smelter not listed",C734="Smelter not yet identified"),MATCH($B734&amp;$D734,'Smelter Look-up'!$J:$J,0),MATCH($B734&amp;$C734,'Smelter Look-up'!$J:$J,0)))</f>
        <v>#N/A</v>
      </c>
      <c r="X734" s="219">
        <f t="shared" ca="1" si="106"/>
        <v>0</v>
      </c>
      <c r="AB734" s="220" t="str">
        <f t="shared" si="107"/>
        <v/>
      </c>
    </row>
    <row r="735" spans="1:28" s="219" customFormat="1" ht="20.25">
      <c r="A735" s="174"/>
      <c r="B735" s="175" t="str">
        <f>IF(LEN(A735)=0,"",INDEX('Smelter Look-up'!$A:$A,MATCH($A735,'Smelter Look-up'!$E:$E,0)))</f>
        <v/>
      </c>
      <c r="C735" s="179" t="str">
        <f>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05"/>
        <v/>
      </c>
      <c r="T735" s="174" t="str">
        <f ca="1">IF(B735="","",IF(ISERROR(MATCH($J735,SorP!$B$1:$B$6279,0)),"",INDIRECT("'SorP'!$A$"&amp;MATCH($S735&amp;$J735,SorP!C:C,0))))</f>
        <v/>
      </c>
      <c r="U735" s="194"/>
      <c r="V735" s="218" t="e">
        <f>IF(C735="",NA(),IF(OR(C735="Smelter not listed",C735="Smelter not yet identified"),MATCH($B735&amp;$D735,'Smelter Look-up'!$J:$J,0),MATCH($B735&amp;$C735,'Smelter Look-up'!$J:$J,0)))</f>
        <v>#N/A</v>
      </c>
      <c r="X735" s="219">
        <f t="shared" ca="1" si="106"/>
        <v>0</v>
      </c>
      <c r="AB735" s="220" t="str">
        <f t="shared" si="107"/>
        <v/>
      </c>
    </row>
    <row r="736" spans="1:28" s="219" customFormat="1" ht="20.25">
      <c r="A736" s="174"/>
      <c r="B736" s="175" t="str">
        <f>IF(LEN(A736)=0,"",INDEX('Smelter Look-up'!$A:$A,MATCH($A736,'Smelter Look-up'!$E:$E,0)))</f>
        <v/>
      </c>
      <c r="C736" s="179" t="str">
        <f>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05"/>
        <v/>
      </c>
      <c r="T736" s="174" t="str">
        <f ca="1">IF(B736="","",IF(ISERROR(MATCH($J736,SorP!$B$1:$B$6279,0)),"",INDIRECT("'SorP'!$A$"&amp;MATCH($S736&amp;$J736,SorP!C:C,0))))</f>
        <v/>
      </c>
      <c r="U736" s="194"/>
      <c r="V736" s="218" t="e">
        <f>IF(C736="",NA(),IF(OR(C736="Smelter not listed",C736="Smelter not yet identified"),MATCH($B736&amp;$D736,'Smelter Look-up'!$J:$J,0),MATCH($B736&amp;$C736,'Smelter Look-up'!$J:$J,0)))</f>
        <v>#N/A</v>
      </c>
      <c r="X736" s="219">
        <f t="shared" ca="1" si="106"/>
        <v>0</v>
      </c>
      <c r="AB736" s="220" t="str">
        <f t="shared" si="107"/>
        <v/>
      </c>
    </row>
    <row r="737" spans="1:28" s="219" customFormat="1" ht="20.25">
      <c r="A737" s="174"/>
      <c r="B737" s="175" t="str">
        <f>IF(LEN(A737)=0,"",INDEX('Smelter Look-up'!$A:$A,MATCH($A737,'Smelter Look-up'!$E:$E,0)))</f>
        <v/>
      </c>
      <c r="C737" s="179" t="str">
        <f>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05"/>
        <v/>
      </c>
      <c r="T737" s="174" t="str">
        <f ca="1">IF(B737="","",IF(ISERROR(MATCH($J737,SorP!$B$1:$B$6279,0)),"",INDIRECT("'SorP'!$A$"&amp;MATCH($S737&amp;$J737,SorP!C:C,0))))</f>
        <v/>
      </c>
      <c r="U737" s="194"/>
      <c r="V737" s="218" t="e">
        <f>IF(C737="",NA(),IF(OR(C737="Smelter not listed",C737="Smelter not yet identified"),MATCH($B737&amp;$D737,'Smelter Look-up'!$J:$J,0),MATCH($B737&amp;$C737,'Smelter Look-up'!$J:$J,0)))</f>
        <v>#N/A</v>
      </c>
      <c r="X737" s="219">
        <f t="shared" ca="1" si="106"/>
        <v>0</v>
      </c>
      <c r="AB737" s="220" t="str">
        <f t="shared" si="107"/>
        <v/>
      </c>
    </row>
    <row r="738" spans="1:28" s="219" customFormat="1" ht="20.25">
      <c r="A738" s="174"/>
      <c r="B738" s="175" t="str">
        <f>IF(LEN(A738)=0,"",INDEX('Smelter Look-up'!$A:$A,MATCH($A738,'Smelter Look-up'!$E:$E,0)))</f>
        <v/>
      </c>
      <c r="C738" s="179" t="str">
        <f>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05"/>
        <v/>
      </c>
      <c r="T738" s="174" t="str">
        <f ca="1">IF(B738="","",IF(ISERROR(MATCH($J738,SorP!$B$1:$B$6279,0)),"",INDIRECT("'SorP'!$A$"&amp;MATCH($S738&amp;$J738,SorP!C:C,0))))</f>
        <v/>
      </c>
      <c r="U738" s="194"/>
      <c r="V738" s="218" t="e">
        <f>IF(C738="",NA(),IF(OR(C738="Smelter not listed",C738="Smelter not yet identified"),MATCH($B738&amp;$D738,'Smelter Look-up'!$J:$J,0),MATCH($B738&amp;$C738,'Smelter Look-up'!$J:$J,0)))</f>
        <v>#N/A</v>
      </c>
      <c r="X738" s="219">
        <f t="shared" ca="1" si="106"/>
        <v>0</v>
      </c>
      <c r="AB738" s="220" t="str">
        <f t="shared" si="107"/>
        <v/>
      </c>
    </row>
    <row r="739" spans="1:28" s="219" customFormat="1" ht="20.25">
      <c r="A739" s="174"/>
      <c r="B739" s="175" t="str">
        <f>IF(LEN(A739)=0,"",INDEX('Smelter Look-up'!$A:$A,MATCH($A739,'Smelter Look-up'!$E:$E,0)))</f>
        <v/>
      </c>
      <c r="C739" s="179" t="str">
        <f>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05"/>
        <v/>
      </c>
      <c r="T739" s="174" t="str">
        <f ca="1">IF(B739="","",IF(ISERROR(MATCH($J739,SorP!$B$1:$B$6279,0)),"",INDIRECT("'SorP'!$A$"&amp;MATCH($S739&amp;$J739,SorP!C:C,0))))</f>
        <v/>
      </c>
      <c r="U739" s="194"/>
      <c r="V739" s="218" t="e">
        <f>IF(C739="",NA(),IF(OR(C739="Smelter not listed",C739="Smelter not yet identified"),MATCH($B739&amp;$D739,'Smelter Look-up'!$J:$J,0),MATCH($B739&amp;$C739,'Smelter Look-up'!$J:$J,0)))</f>
        <v>#N/A</v>
      </c>
      <c r="X739" s="219">
        <f t="shared" ca="1" si="106"/>
        <v>0</v>
      </c>
      <c r="AB739" s="220" t="str">
        <f t="shared" si="107"/>
        <v/>
      </c>
    </row>
    <row r="740" spans="1:28" s="219" customFormat="1" ht="20.25">
      <c r="A740" s="174"/>
      <c r="B740" s="175" t="str">
        <f>IF(LEN(A740)=0,"",INDEX('Smelter Look-up'!$A:$A,MATCH($A740,'Smelter Look-up'!$E:$E,0)))</f>
        <v/>
      </c>
      <c r="C740" s="179" t="str">
        <f>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05"/>
        <v/>
      </c>
      <c r="T740" s="174" t="str">
        <f ca="1">IF(B740="","",IF(ISERROR(MATCH($J740,SorP!$B$1:$B$6279,0)),"",INDIRECT("'SorP'!$A$"&amp;MATCH($S740&amp;$J740,SorP!C:C,0))))</f>
        <v/>
      </c>
      <c r="U740" s="194"/>
      <c r="V740" s="218" t="e">
        <f>IF(C740="",NA(),IF(OR(C740="Smelter not listed",C740="Smelter not yet identified"),MATCH($B740&amp;$D740,'Smelter Look-up'!$J:$J,0),MATCH($B740&amp;$C740,'Smelter Look-up'!$J:$J,0)))</f>
        <v>#N/A</v>
      </c>
      <c r="X740" s="219">
        <f t="shared" ca="1" si="106"/>
        <v>0</v>
      </c>
      <c r="AB740" s="220" t="str">
        <f t="shared" si="107"/>
        <v/>
      </c>
    </row>
    <row r="741" spans="1:28" s="219" customFormat="1" ht="20.25">
      <c r="A741" s="174"/>
      <c r="B741" s="175" t="str">
        <f>IF(LEN(A741)=0,"",INDEX('Smelter Look-up'!$A:$A,MATCH($A741,'Smelter Look-up'!$E:$E,0)))</f>
        <v/>
      </c>
      <c r="C741" s="179" t="str">
        <f>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05"/>
        <v/>
      </c>
      <c r="T741" s="174" t="str">
        <f ca="1">IF(B741="","",IF(ISERROR(MATCH($J741,SorP!$B$1:$B$6279,0)),"",INDIRECT("'SorP'!$A$"&amp;MATCH($S741&amp;$J741,SorP!C:C,0))))</f>
        <v/>
      </c>
      <c r="U741" s="194"/>
      <c r="V741" s="218" t="e">
        <f>IF(C741="",NA(),IF(OR(C741="Smelter not listed",C741="Smelter not yet identified"),MATCH($B741&amp;$D741,'Smelter Look-up'!$J:$J,0),MATCH($B741&amp;$C741,'Smelter Look-up'!$J:$J,0)))</f>
        <v>#N/A</v>
      </c>
      <c r="X741" s="219">
        <f t="shared" ca="1" si="106"/>
        <v>0</v>
      </c>
      <c r="AB741" s="220" t="str">
        <f t="shared" si="107"/>
        <v/>
      </c>
    </row>
    <row r="742" spans="1:28" s="219" customFormat="1" ht="20.25">
      <c r="A742" s="174"/>
      <c r="B742" s="175" t="str">
        <f>IF(LEN(A742)=0,"",INDEX('Smelter Look-up'!$A:$A,MATCH($A742,'Smelter Look-up'!$E:$E,0)))</f>
        <v/>
      </c>
      <c r="C742" s="179" t="str">
        <f>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05"/>
        <v/>
      </c>
      <c r="T742" s="174" t="str">
        <f ca="1">IF(B742="","",IF(ISERROR(MATCH($J742,SorP!$B$1:$B$6279,0)),"",INDIRECT("'SorP'!$A$"&amp;MATCH($S742&amp;$J742,SorP!C:C,0))))</f>
        <v/>
      </c>
      <c r="U742" s="194"/>
      <c r="V742" s="218" t="e">
        <f>IF(C742="",NA(),IF(OR(C742="Smelter not listed",C742="Smelter not yet identified"),MATCH($B742&amp;$D742,'Smelter Look-up'!$J:$J,0),MATCH($B742&amp;$C742,'Smelter Look-up'!$J:$J,0)))</f>
        <v>#N/A</v>
      </c>
      <c r="X742" s="219">
        <f t="shared" ca="1" si="106"/>
        <v>0</v>
      </c>
      <c r="AB742" s="220" t="str">
        <f t="shared" si="107"/>
        <v/>
      </c>
    </row>
    <row r="743" spans="1:28" s="219" customFormat="1" ht="20.25">
      <c r="A743" s="174"/>
      <c r="B743" s="175" t="str">
        <f>IF(LEN(A743)=0,"",INDEX('Smelter Look-up'!$A:$A,MATCH($A743,'Smelter Look-up'!$E:$E,0)))</f>
        <v/>
      </c>
      <c r="C743" s="179" t="str">
        <f>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05"/>
        <v/>
      </c>
      <c r="T743" s="174" t="str">
        <f ca="1">IF(B743="","",IF(ISERROR(MATCH($J743,SorP!$B$1:$B$6279,0)),"",INDIRECT("'SorP'!$A$"&amp;MATCH($S743&amp;$J743,SorP!C:C,0))))</f>
        <v/>
      </c>
      <c r="U743" s="194"/>
      <c r="V743" s="218" t="e">
        <f>IF(C743="",NA(),IF(OR(C743="Smelter not listed",C743="Smelter not yet identified"),MATCH($B743&amp;$D743,'Smelter Look-up'!$J:$J,0),MATCH($B743&amp;$C743,'Smelter Look-up'!$J:$J,0)))</f>
        <v>#N/A</v>
      </c>
      <c r="X743" s="219">
        <f t="shared" ca="1" si="106"/>
        <v>0</v>
      </c>
      <c r="AB743" s="220" t="str">
        <f t="shared" si="107"/>
        <v/>
      </c>
    </row>
    <row r="744" spans="1:28" s="219" customFormat="1" ht="20.25">
      <c r="A744" s="174"/>
      <c r="B744" s="175" t="str">
        <f>IF(LEN(A744)=0,"",INDEX('Smelter Look-up'!$A:$A,MATCH($A744,'Smelter Look-up'!$E:$E,0)))</f>
        <v/>
      </c>
      <c r="C744" s="179" t="str">
        <f>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05"/>
        <v/>
      </c>
      <c r="T744" s="174" t="str">
        <f ca="1">IF(B744="","",IF(ISERROR(MATCH($J744,SorP!$B$1:$B$6279,0)),"",INDIRECT("'SorP'!$A$"&amp;MATCH($S744&amp;$J744,SorP!C:C,0))))</f>
        <v/>
      </c>
      <c r="U744" s="194"/>
      <c r="V744" s="218" t="e">
        <f>IF(C744="",NA(),IF(OR(C744="Smelter not listed",C744="Smelter not yet identified"),MATCH($B744&amp;$D744,'Smelter Look-up'!$J:$J,0),MATCH($B744&amp;$C744,'Smelter Look-up'!$J:$J,0)))</f>
        <v>#N/A</v>
      </c>
      <c r="X744" s="219">
        <f t="shared" ca="1" si="106"/>
        <v>0</v>
      </c>
      <c r="AB744" s="220" t="str">
        <f t="shared" si="107"/>
        <v/>
      </c>
    </row>
    <row r="745" spans="1:28" s="219" customFormat="1" ht="20.25">
      <c r="A745" s="174"/>
      <c r="B745" s="175" t="str">
        <f>IF(LEN(A745)=0,"",INDEX('Smelter Look-up'!$A:$A,MATCH($A745,'Smelter Look-up'!$E:$E,0)))</f>
        <v/>
      </c>
      <c r="C745" s="179" t="str">
        <f>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05"/>
        <v/>
      </c>
      <c r="T745" s="174" t="str">
        <f ca="1">IF(B745="","",IF(ISERROR(MATCH($J745,SorP!$B$1:$B$6279,0)),"",INDIRECT("'SorP'!$A$"&amp;MATCH($S745&amp;$J745,SorP!C:C,0))))</f>
        <v/>
      </c>
      <c r="U745" s="194"/>
      <c r="V745" s="218" t="e">
        <f>IF(C745="",NA(),IF(OR(C745="Smelter not listed",C745="Smelter not yet identified"),MATCH($B745&amp;$D745,'Smelter Look-up'!$J:$J,0),MATCH($B745&amp;$C745,'Smelter Look-up'!$J:$J,0)))</f>
        <v>#N/A</v>
      </c>
      <c r="X745" s="219">
        <f t="shared" ca="1" si="106"/>
        <v>0</v>
      </c>
      <c r="AB745" s="220" t="str">
        <f t="shared" si="107"/>
        <v/>
      </c>
    </row>
    <row r="746" spans="1:28" s="219" customFormat="1" ht="20.25">
      <c r="A746" s="174"/>
      <c r="B746" s="175" t="str">
        <f>IF(LEN(A746)=0,"",INDEX('Smelter Look-up'!$A:$A,MATCH($A746,'Smelter Look-up'!$E:$E,0)))</f>
        <v/>
      </c>
      <c r="C746" s="179" t="str">
        <f>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05"/>
        <v/>
      </c>
      <c r="T746" s="174" t="str">
        <f ca="1">IF(B746="","",IF(ISERROR(MATCH($J746,SorP!$B$1:$B$6279,0)),"",INDIRECT("'SorP'!$A$"&amp;MATCH($S746&amp;$J746,SorP!C:C,0))))</f>
        <v/>
      </c>
      <c r="U746" s="194"/>
      <c r="V746" s="218" t="e">
        <f>IF(C746="",NA(),IF(OR(C746="Smelter not listed",C746="Smelter not yet identified"),MATCH($B746&amp;$D746,'Smelter Look-up'!$J:$J,0),MATCH($B746&amp;$C746,'Smelter Look-up'!$J:$J,0)))</f>
        <v>#N/A</v>
      </c>
      <c r="X746" s="219">
        <f t="shared" ca="1" si="106"/>
        <v>0</v>
      </c>
      <c r="AB746" s="220" t="str">
        <f t="shared" si="107"/>
        <v/>
      </c>
    </row>
    <row r="747" spans="1:28" s="219" customFormat="1" ht="20.25">
      <c r="A747" s="174"/>
      <c r="B747" s="175" t="str">
        <f>IF(LEN(A747)=0,"",INDEX('Smelter Look-up'!$A:$A,MATCH($A747,'Smelter Look-up'!$E:$E,0)))</f>
        <v/>
      </c>
      <c r="C747" s="179" t="str">
        <f>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05"/>
        <v/>
      </c>
      <c r="T747" s="174" t="str">
        <f ca="1">IF(B747="","",IF(ISERROR(MATCH($J747,SorP!$B$1:$B$6279,0)),"",INDIRECT("'SorP'!$A$"&amp;MATCH($S747&amp;$J747,SorP!C:C,0))))</f>
        <v/>
      </c>
      <c r="U747" s="194"/>
      <c r="V747" s="218" t="e">
        <f>IF(C747="",NA(),IF(OR(C747="Smelter not listed",C747="Smelter not yet identified"),MATCH($B747&amp;$D747,'Smelter Look-up'!$J:$J,0),MATCH($B747&amp;$C747,'Smelter Look-up'!$J:$J,0)))</f>
        <v>#N/A</v>
      </c>
      <c r="X747" s="219">
        <f t="shared" ca="1" si="106"/>
        <v>0</v>
      </c>
      <c r="AB747" s="220" t="str">
        <f t="shared" si="107"/>
        <v/>
      </c>
    </row>
    <row r="748" spans="1:28" s="219" customFormat="1" ht="20.25">
      <c r="A748" s="174"/>
      <c r="B748" s="175" t="str">
        <f>IF(LEN(A748)=0,"",INDEX('Smelter Look-up'!$A:$A,MATCH($A748,'Smelter Look-up'!$E:$E,0)))</f>
        <v/>
      </c>
      <c r="C748" s="179" t="str">
        <f>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05"/>
        <v/>
      </c>
      <c r="T748" s="174" t="str">
        <f ca="1">IF(B748="","",IF(ISERROR(MATCH($J748,SorP!$B$1:$B$6279,0)),"",INDIRECT("'SorP'!$A$"&amp;MATCH($S748&amp;$J748,SorP!C:C,0))))</f>
        <v/>
      </c>
      <c r="U748" s="194"/>
      <c r="V748" s="218" t="e">
        <f>IF(C748="",NA(),IF(OR(C748="Smelter not listed",C748="Smelter not yet identified"),MATCH($B748&amp;$D748,'Smelter Look-up'!$J:$J,0),MATCH($B748&amp;$C748,'Smelter Look-up'!$J:$J,0)))</f>
        <v>#N/A</v>
      </c>
      <c r="X748" s="219">
        <f t="shared" ca="1" si="106"/>
        <v>0</v>
      </c>
      <c r="AB748" s="220" t="str">
        <f t="shared" si="107"/>
        <v/>
      </c>
    </row>
    <row r="749" spans="1:28" s="219" customFormat="1" ht="20.25">
      <c r="A749" s="174"/>
      <c r="B749" s="175" t="str">
        <f>IF(LEN(A749)=0,"",INDEX('Smelter Look-up'!$A:$A,MATCH($A749,'Smelter Look-up'!$E:$E,0)))</f>
        <v/>
      </c>
      <c r="C749" s="179" t="str">
        <f>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05"/>
        <v/>
      </c>
      <c r="T749" s="174" t="str">
        <f ca="1">IF(B749="","",IF(ISERROR(MATCH($J749,SorP!$B$1:$B$6279,0)),"",INDIRECT("'SorP'!$A$"&amp;MATCH($S749&amp;$J749,SorP!C:C,0))))</f>
        <v/>
      </c>
      <c r="U749" s="194"/>
      <c r="V749" s="218" t="e">
        <f>IF(C749="",NA(),IF(OR(C749="Smelter not listed",C749="Smelter not yet identified"),MATCH($B749&amp;$D749,'Smelter Look-up'!$J:$J,0),MATCH($B749&amp;$C749,'Smelter Look-up'!$J:$J,0)))</f>
        <v>#N/A</v>
      </c>
      <c r="X749" s="219">
        <f t="shared" ca="1" si="106"/>
        <v>0</v>
      </c>
      <c r="AB749" s="220" t="str">
        <f t="shared" si="107"/>
        <v/>
      </c>
    </row>
    <row r="750" spans="1:28" s="219" customFormat="1" ht="20.25">
      <c r="A750" s="174"/>
      <c r="B750" s="175" t="str">
        <f>IF(LEN(A750)=0,"",INDEX('Smelter Look-up'!$A:$A,MATCH($A750,'Smelter Look-up'!$E:$E,0)))</f>
        <v/>
      </c>
      <c r="C750" s="179" t="str">
        <f>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05"/>
        <v/>
      </c>
      <c r="T750" s="174" t="str">
        <f ca="1">IF(B750="","",IF(ISERROR(MATCH($J750,SorP!$B$1:$B$6279,0)),"",INDIRECT("'SorP'!$A$"&amp;MATCH($S750&amp;$J750,SorP!C:C,0))))</f>
        <v/>
      </c>
      <c r="U750" s="194"/>
      <c r="V750" s="218" t="e">
        <f>IF(C750="",NA(),IF(OR(C750="Smelter not listed",C750="Smelter not yet identified"),MATCH($B750&amp;$D750,'Smelter Look-up'!$J:$J,0),MATCH($B750&amp;$C750,'Smelter Look-up'!$J:$J,0)))</f>
        <v>#N/A</v>
      </c>
      <c r="X750" s="219">
        <f t="shared" ca="1" si="106"/>
        <v>0</v>
      </c>
      <c r="AB750" s="220" t="str">
        <f t="shared" si="107"/>
        <v/>
      </c>
    </row>
    <row r="751" spans="1:28" s="219" customFormat="1" ht="20.25">
      <c r="A751" s="174"/>
      <c r="B751" s="175" t="str">
        <f>IF(LEN(A751)=0,"",INDEX('Smelter Look-up'!$A:$A,MATCH($A751,'Smelter Look-up'!$E:$E,0)))</f>
        <v/>
      </c>
      <c r="C751" s="179" t="str">
        <f>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05"/>
        <v/>
      </c>
      <c r="T751" s="174" t="str">
        <f ca="1">IF(B751="","",IF(ISERROR(MATCH($J751,SorP!$B$1:$B$6279,0)),"",INDIRECT("'SorP'!$A$"&amp;MATCH($S751&amp;$J751,SorP!C:C,0))))</f>
        <v/>
      </c>
      <c r="U751" s="194"/>
      <c r="V751" s="218" t="e">
        <f>IF(C751="",NA(),IF(OR(C751="Smelter not listed",C751="Smelter not yet identified"),MATCH($B751&amp;$D751,'Smelter Look-up'!$J:$J,0),MATCH($B751&amp;$C751,'Smelter Look-up'!$J:$J,0)))</f>
        <v>#N/A</v>
      </c>
      <c r="X751" s="219">
        <f t="shared" ca="1" si="106"/>
        <v>0</v>
      </c>
      <c r="AB751" s="220" t="str">
        <f t="shared" si="107"/>
        <v/>
      </c>
    </row>
    <row r="752" spans="1:28" s="219" customFormat="1" ht="20.25">
      <c r="A752" s="174"/>
      <c r="B752" s="175" t="str">
        <f>IF(LEN(A752)=0,"",INDEX('Smelter Look-up'!$A:$A,MATCH($A752,'Smelter Look-up'!$E:$E,0)))</f>
        <v/>
      </c>
      <c r="C752" s="179" t="str">
        <f>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05"/>
        <v/>
      </c>
      <c r="T752" s="174" t="str">
        <f ca="1">IF(B752="","",IF(ISERROR(MATCH($J752,SorP!$B$1:$B$6279,0)),"",INDIRECT("'SorP'!$A$"&amp;MATCH($S752&amp;$J752,SorP!C:C,0))))</f>
        <v/>
      </c>
      <c r="U752" s="194"/>
      <c r="V752" s="218" t="e">
        <f>IF(C752="",NA(),IF(OR(C752="Smelter not listed",C752="Smelter not yet identified"),MATCH($B752&amp;$D752,'Smelter Look-up'!$J:$J,0),MATCH($B752&amp;$C752,'Smelter Look-up'!$J:$J,0)))</f>
        <v>#N/A</v>
      </c>
      <c r="X752" s="219">
        <f t="shared" ca="1" si="106"/>
        <v>0</v>
      </c>
      <c r="AB752" s="220" t="str">
        <f t="shared" si="107"/>
        <v/>
      </c>
    </row>
    <row r="753" spans="1:28" s="219" customFormat="1" ht="20.25">
      <c r="A753" s="174"/>
      <c r="B753" s="175" t="str">
        <f>IF(LEN(A753)=0,"",INDEX('Smelter Look-up'!$A:$A,MATCH($A753,'Smelter Look-up'!$E:$E,0)))</f>
        <v/>
      </c>
      <c r="C753" s="179" t="str">
        <f>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05"/>
        <v/>
      </c>
      <c r="T753" s="174" t="str">
        <f ca="1">IF(B753="","",IF(ISERROR(MATCH($J753,SorP!$B$1:$B$6279,0)),"",INDIRECT("'SorP'!$A$"&amp;MATCH($S753&amp;$J753,SorP!C:C,0))))</f>
        <v/>
      </c>
      <c r="U753" s="194"/>
      <c r="V753" s="218" t="e">
        <f>IF(C753="",NA(),IF(OR(C753="Smelter not listed",C753="Smelter not yet identified"),MATCH($B753&amp;$D753,'Smelter Look-up'!$J:$J,0),MATCH($B753&amp;$C753,'Smelter Look-up'!$J:$J,0)))</f>
        <v>#N/A</v>
      </c>
      <c r="X753" s="219">
        <f t="shared" ca="1" si="106"/>
        <v>0</v>
      </c>
      <c r="AB753" s="220" t="str">
        <f t="shared" si="107"/>
        <v/>
      </c>
    </row>
    <row r="754" spans="1:28" s="219" customFormat="1" ht="20.25">
      <c r="A754" s="174"/>
      <c r="B754" s="175" t="str">
        <f>IF(LEN(A754)=0,"",INDEX('Smelter Look-up'!$A:$A,MATCH($A754,'Smelter Look-up'!$E:$E,0)))</f>
        <v/>
      </c>
      <c r="C754" s="179" t="str">
        <f>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05"/>
        <v/>
      </c>
      <c r="T754" s="174" t="str">
        <f ca="1">IF(B754="","",IF(ISERROR(MATCH($J754,SorP!$B$1:$B$6279,0)),"",INDIRECT("'SorP'!$A$"&amp;MATCH($S754&amp;$J754,SorP!C:C,0))))</f>
        <v/>
      </c>
      <c r="U754" s="194"/>
      <c r="V754" s="218" t="e">
        <f>IF(C754="",NA(),IF(OR(C754="Smelter not listed",C754="Smelter not yet identified"),MATCH($B754&amp;$D754,'Smelter Look-up'!$J:$J,0),MATCH($B754&amp;$C754,'Smelter Look-up'!$J:$J,0)))</f>
        <v>#N/A</v>
      </c>
      <c r="X754" s="219">
        <f t="shared" ca="1" si="106"/>
        <v>0</v>
      </c>
      <c r="AB754" s="220" t="str">
        <f t="shared" si="107"/>
        <v/>
      </c>
    </row>
    <row r="755" spans="1:28" s="219" customFormat="1" ht="20.25">
      <c r="A755" s="174"/>
      <c r="B755" s="175" t="str">
        <f>IF(LEN(A755)=0,"",INDEX('Smelter Look-up'!$A:$A,MATCH($A755,'Smelter Look-up'!$E:$E,0)))</f>
        <v/>
      </c>
      <c r="C755" s="179" t="str">
        <f>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105"/>
        <v/>
      </c>
      <c r="T755" s="174" t="str">
        <f ca="1">IF(B755="","",IF(ISERROR(MATCH($J755,SorP!$B$1:$B$6279,0)),"",INDIRECT("'SorP'!$A$"&amp;MATCH($S755&amp;$J755,SorP!C:C,0))))</f>
        <v/>
      </c>
      <c r="U755" s="194"/>
      <c r="V755" s="218" t="e">
        <f>IF(C755="",NA(),IF(OR(C755="Smelter not listed",C755="Smelter not yet identified"),MATCH($B755&amp;$D755,'Smelter Look-up'!$J:$J,0),MATCH($B755&amp;$C755,'Smelter Look-up'!$J:$J,0)))</f>
        <v>#N/A</v>
      </c>
      <c r="X755" s="219">
        <f t="shared" ca="1" si="106"/>
        <v>0</v>
      </c>
      <c r="AB755" s="220" t="str">
        <f t="shared" si="107"/>
        <v/>
      </c>
    </row>
    <row r="756" spans="1:28" s="219" customFormat="1" ht="20.25">
      <c r="A756" s="174"/>
      <c r="B756" s="175" t="str">
        <f>IF(LEN(A756)=0,"",INDEX('Smelter Look-up'!$A:$A,MATCH($A756,'Smelter Look-up'!$E:$E,0)))</f>
        <v/>
      </c>
      <c r="C756" s="179" t="str">
        <f>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05"/>
        <v/>
      </c>
      <c r="T756" s="174" t="str">
        <f ca="1">IF(B756="","",IF(ISERROR(MATCH($J756,SorP!$B$1:$B$6279,0)),"",INDIRECT("'SorP'!$A$"&amp;MATCH($S756&amp;$J756,SorP!C:C,0))))</f>
        <v/>
      </c>
      <c r="U756" s="194"/>
      <c r="V756" s="218" t="e">
        <f>IF(C756="",NA(),IF(OR(C756="Smelter not listed",C756="Smelter not yet identified"),MATCH($B756&amp;$D756,'Smelter Look-up'!$J:$J,0),MATCH($B756&amp;$C756,'Smelter Look-up'!$J:$J,0)))</f>
        <v>#N/A</v>
      </c>
      <c r="X756" s="219">
        <f t="shared" ca="1" si="106"/>
        <v>0</v>
      </c>
      <c r="AB756" s="220" t="str">
        <f t="shared" si="107"/>
        <v/>
      </c>
    </row>
    <row r="757" spans="1:28" s="219" customFormat="1" ht="20.25">
      <c r="A757" s="174"/>
      <c r="B757" s="175" t="str">
        <f>IF(LEN(A757)=0,"",INDEX('Smelter Look-up'!$A:$A,MATCH($A757,'Smelter Look-up'!$E:$E,0)))</f>
        <v/>
      </c>
      <c r="C757" s="179" t="str">
        <f>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05"/>
        <v/>
      </c>
      <c r="T757" s="174" t="str">
        <f ca="1">IF(B757="","",IF(ISERROR(MATCH($J757,SorP!$B$1:$B$6279,0)),"",INDIRECT("'SorP'!$A$"&amp;MATCH($S757&amp;$J757,SorP!C:C,0))))</f>
        <v/>
      </c>
      <c r="U757" s="194"/>
      <c r="V757" s="218" t="e">
        <f>IF(C757="",NA(),IF(OR(C757="Smelter not listed",C757="Smelter not yet identified"),MATCH($B757&amp;$D757,'Smelter Look-up'!$J:$J,0),MATCH($B757&amp;$C757,'Smelter Look-up'!$J:$J,0)))</f>
        <v>#N/A</v>
      </c>
      <c r="X757" s="219">
        <f t="shared" ca="1" si="106"/>
        <v>0</v>
      </c>
      <c r="AB757" s="220" t="str">
        <f t="shared" si="107"/>
        <v/>
      </c>
    </row>
    <row r="758" spans="1:28" s="219" customFormat="1" ht="20.25">
      <c r="A758" s="174"/>
      <c r="B758" s="175" t="str">
        <f>IF(LEN(A758)=0,"",INDEX('Smelter Look-up'!$A:$A,MATCH($A758,'Smelter Look-up'!$E:$E,0)))</f>
        <v/>
      </c>
      <c r="C758" s="179" t="str">
        <f>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05"/>
        <v/>
      </c>
      <c r="T758" s="174" t="str">
        <f ca="1">IF(B758="","",IF(ISERROR(MATCH($J758,SorP!$B$1:$B$6279,0)),"",INDIRECT("'SorP'!$A$"&amp;MATCH($S758&amp;$J758,SorP!C:C,0))))</f>
        <v/>
      </c>
      <c r="U758" s="194"/>
      <c r="V758" s="218" t="e">
        <f>IF(C758="",NA(),IF(OR(C758="Smelter not listed",C758="Smelter not yet identified"),MATCH($B758&amp;$D758,'Smelter Look-up'!$J:$J,0),MATCH($B758&amp;$C758,'Smelter Look-up'!$J:$J,0)))</f>
        <v>#N/A</v>
      </c>
      <c r="X758" s="219">
        <f t="shared" ca="1" si="106"/>
        <v>0</v>
      </c>
      <c r="AB758" s="220" t="str">
        <f t="shared" si="107"/>
        <v/>
      </c>
    </row>
    <row r="759" spans="1:28" s="219" customFormat="1" ht="20.25">
      <c r="A759" s="174"/>
      <c r="B759" s="175" t="str">
        <f>IF(LEN(A759)=0,"",INDEX('Smelter Look-up'!$A:$A,MATCH($A759,'Smelter Look-up'!$E:$E,0)))</f>
        <v/>
      </c>
      <c r="C759" s="179" t="str">
        <f>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05"/>
        <v/>
      </c>
      <c r="T759" s="174" t="str">
        <f ca="1">IF(B759="","",IF(ISERROR(MATCH($J759,SorP!$B$1:$B$6279,0)),"",INDIRECT("'SorP'!$A$"&amp;MATCH($S759&amp;$J759,SorP!C:C,0))))</f>
        <v/>
      </c>
      <c r="U759" s="194"/>
      <c r="V759" s="218" t="e">
        <f>IF(C759="",NA(),IF(OR(C759="Smelter not listed",C759="Smelter not yet identified"),MATCH($B759&amp;$D759,'Smelter Look-up'!$J:$J,0),MATCH($B759&amp;$C759,'Smelter Look-up'!$J:$J,0)))</f>
        <v>#N/A</v>
      </c>
      <c r="X759" s="219">
        <f t="shared" ca="1" si="106"/>
        <v>0</v>
      </c>
      <c r="AB759" s="220" t="str">
        <f t="shared" si="107"/>
        <v/>
      </c>
    </row>
    <row r="760" spans="1:28" s="219" customFormat="1" ht="20.25">
      <c r="A760" s="174"/>
      <c r="B760" s="175" t="str">
        <f>IF(LEN(A760)=0,"",INDEX('Smelter Look-up'!$A:$A,MATCH($A760,'Smelter Look-up'!$E:$E,0)))</f>
        <v/>
      </c>
      <c r="C760" s="179" t="str">
        <f>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05"/>
        <v/>
      </c>
      <c r="T760" s="174" t="str">
        <f ca="1">IF(B760="","",IF(ISERROR(MATCH($J760,SorP!$B$1:$B$6279,0)),"",INDIRECT("'SorP'!$A$"&amp;MATCH($S760&amp;$J760,SorP!C:C,0))))</f>
        <v/>
      </c>
      <c r="U760" s="194"/>
      <c r="V760" s="218" t="e">
        <f>IF(C760="",NA(),IF(OR(C760="Smelter not listed",C760="Smelter not yet identified"),MATCH($B760&amp;$D760,'Smelter Look-up'!$J:$J,0),MATCH($B760&amp;$C760,'Smelter Look-up'!$J:$J,0)))</f>
        <v>#N/A</v>
      </c>
      <c r="X760" s="219">
        <f t="shared" ca="1" si="106"/>
        <v>0</v>
      </c>
      <c r="AB760" s="220" t="str">
        <f t="shared" si="107"/>
        <v/>
      </c>
    </row>
    <row r="761" spans="1:28" s="219" customFormat="1" ht="20.25">
      <c r="A761" s="174"/>
      <c r="B761" s="175" t="str">
        <f>IF(LEN(A761)=0,"",INDEX('Smelter Look-up'!$A:$A,MATCH($A761,'Smelter Look-up'!$E:$E,0)))</f>
        <v/>
      </c>
      <c r="C761" s="179" t="str">
        <f>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105"/>
        <v/>
      </c>
      <c r="T761" s="174" t="str">
        <f ca="1">IF(B761="","",IF(ISERROR(MATCH($J761,SorP!$B$1:$B$6279,0)),"",INDIRECT("'SorP'!$A$"&amp;MATCH($S761&amp;$J761,SorP!C:C,0))))</f>
        <v/>
      </c>
      <c r="U761" s="194"/>
      <c r="V761" s="218" t="e">
        <f>IF(C761="",NA(),IF(OR(C761="Smelter not listed",C761="Smelter not yet identified"),MATCH($B761&amp;$D761,'Smelter Look-up'!$J:$J,0),MATCH($B761&amp;$C761,'Smelter Look-up'!$J:$J,0)))</f>
        <v>#N/A</v>
      </c>
      <c r="X761" s="219">
        <f t="shared" ca="1" si="106"/>
        <v>0</v>
      </c>
      <c r="AB761" s="220" t="str">
        <f t="shared" si="107"/>
        <v/>
      </c>
    </row>
    <row r="762" spans="1:28" s="219" customFormat="1" ht="20.25">
      <c r="A762" s="174"/>
      <c r="B762" s="175" t="str">
        <f>IF(LEN(A762)=0,"",INDEX('Smelter Look-up'!$A:$A,MATCH($A762,'Smelter Look-up'!$E:$E,0)))</f>
        <v/>
      </c>
      <c r="C762" s="179" t="str">
        <f>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ca="1" si="105"/>
        <v/>
      </c>
      <c r="T762" s="174" t="str">
        <f ca="1">IF(B762="","",IF(ISERROR(MATCH($J762,SorP!$B$1:$B$6279,0)),"",INDIRECT("'SorP'!$A$"&amp;MATCH($S762&amp;$J762,SorP!C:C,0))))</f>
        <v/>
      </c>
      <c r="U762" s="194"/>
      <c r="V762" s="218" t="e">
        <f>IF(C762="",NA(),IF(OR(C762="Smelter not listed",C762="Smelter not yet identified"),MATCH($B762&amp;$D762,'Smelter Look-up'!$J:$J,0),MATCH($B762&amp;$C762,'Smelter Look-up'!$J:$J,0)))</f>
        <v>#N/A</v>
      </c>
      <c r="X762" s="219">
        <f t="shared" ca="1" si="106"/>
        <v>0</v>
      </c>
      <c r="AB762" s="220" t="str">
        <f t="shared" si="107"/>
        <v/>
      </c>
    </row>
    <row r="763" spans="1:28" s="219" customFormat="1" ht="20.25">
      <c r="A763" s="174"/>
      <c r="B763" s="175" t="str">
        <f>IF(LEN(A763)=0,"",INDEX('Smelter Look-up'!$A:$A,MATCH($A763,'Smelter Look-up'!$E:$E,0)))</f>
        <v/>
      </c>
      <c r="C763" s="179" t="str">
        <f>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ref="S763" ca="1" si="108">IF(B763="","",IF(ISERROR(MATCH($E763,CL,0)),"Unknown",INDIRECT("'C'!$A$"&amp;MATCH($E763,CL,0)+1)))</f>
        <v/>
      </c>
      <c r="T763" s="174" t="str">
        <f ca="1">IF(B763="","",IF(ISERROR(MATCH($J763,SorP!$B$1:$B$6279,0)),"",INDIRECT("'SorP'!$A$"&amp;MATCH($S763&amp;$J763,SorP!C:C,0))))</f>
        <v/>
      </c>
      <c r="U763" s="194"/>
      <c r="V763" s="218" t="e">
        <f>IF(C763="",NA(),IF(OR(C763="Smelter not listed",C763="Smelter not yet identified"),MATCH($B763&amp;$D763,'Smelter Look-up'!$J:$J,0),MATCH($B763&amp;$C763,'Smelter Look-up'!$J:$J,0)))</f>
        <v>#N/A</v>
      </c>
      <c r="X763" s="219">
        <f t="shared" ref="X763" ca="1" si="109">IF(AND(C763="Smelter not listed",OR(LEN(D763)=0,LEN(E763)=0)),1,0)</f>
        <v>0</v>
      </c>
      <c r="AB763" s="220" t="str">
        <f t="shared" ref="AB763" si="110">B763&amp;C763</f>
        <v/>
      </c>
    </row>
    <row r="764" spans="1:28" s="219" customFormat="1" ht="20.25">
      <c r="A764" s="174"/>
      <c r="B764" s="175" t="str">
        <f>IF(LEN(A764)=0,"",INDEX('Smelter Look-up'!$A:$A,MATCH($A764,'Smelter Look-up'!$E:$E,0)))</f>
        <v/>
      </c>
      <c r="C764" s="179" t="str">
        <f>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ref="S764:S795" ca="1" si="111">IF(B764="","",IF(ISERROR(MATCH($E764,CL,0)),"Unknown",INDIRECT("'C'!$A$"&amp;MATCH($E764,CL,0)+1)))</f>
        <v/>
      </c>
      <c r="T764" s="174" t="str">
        <f ca="1">IF(B764="","",IF(ISERROR(MATCH($J764,SorP!$B$1:$B$6279,0)),"",INDIRECT("'SorP'!$A$"&amp;MATCH($S764&amp;$J764,SorP!C:C,0))))</f>
        <v/>
      </c>
      <c r="U764" s="194"/>
      <c r="V764" s="218" t="e">
        <f>IF(C764="",NA(),IF(OR(C764="Smelter not listed",C764="Smelter not yet identified"),MATCH($B764&amp;$D764,'Smelter Look-up'!$J:$J,0),MATCH($B764&amp;$C764,'Smelter Look-up'!$J:$J,0)))</f>
        <v>#N/A</v>
      </c>
      <c r="X764" s="219">
        <f t="shared" ref="X764:X795" ca="1" si="112">IF(AND(C764="Smelter not listed",OR(LEN(D764)=0,LEN(E764)=0)),1,0)</f>
        <v>0</v>
      </c>
      <c r="AB764" s="220" t="str">
        <f t="shared" ref="AB764:AB795" si="113">B764&amp;C764</f>
        <v/>
      </c>
    </row>
    <row r="765" spans="1:28" s="219" customFormat="1" ht="20.25">
      <c r="A765" s="174"/>
      <c r="B765" s="175" t="str">
        <f>IF(LEN(A765)=0,"",INDEX('Smelter Look-up'!$A:$A,MATCH($A765,'Smelter Look-up'!$E:$E,0)))</f>
        <v/>
      </c>
      <c r="C765" s="179" t="str">
        <f>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11"/>
        <v/>
      </c>
      <c r="T765" s="174" t="str">
        <f ca="1">IF(B765="","",IF(ISERROR(MATCH($J765,SorP!$B$1:$B$6279,0)),"",INDIRECT("'SorP'!$A$"&amp;MATCH($S765&amp;$J765,SorP!C:C,0))))</f>
        <v/>
      </c>
      <c r="U765" s="194"/>
      <c r="V765" s="218" t="e">
        <f>IF(C765="",NA(),IF(OR(C765="Smelter not listed",C765="Smelter not yet identified"),MATCH($B765&amp;$D765,'Smelter Look-up'!$J:$J,0),MATCH($B765&amp;$C765,'Smelter Look-up'!$J:$J,0)))</f>
        <v>#N/A</v>
      </c>
      <c r="X765" s="219">
        <f t="shared" ca="1" si="112"/>
        <v>0</v>
      </c>
      <c r="AB765" s="220" t="str">
        <f t="shared" si="113"/>
        <v/>
      </c>
    </row>
    <row r="766" spans="1:28" s="219" customFormat="1" ht="20.25">
      <c r="A766" s="174"/>
      <c r="B766" s="175" t="str">
        <f>IF(LEN(A766)=0,"",INDEX('Smelter Look-up'!$A:$A,MATCH($A766,'Smelter Look-up'!$E:$E,0)))</f>
        <v/>
      </c>
      <c r="C766" s="179" t="str">
        <f>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11"/>
        <v/>
      </c>
      <c r="T766" s="174" t="str">
        <f ca="1">IF(B766="","",IF(ISERROR(MATCH($J766,SorP!$B$1:$B$6279,0)),"",INDIRECT("'SorP'!$A$"&amp;MATCH($S766&amp;$J766,SorP!C:C,0))))</f>
        <v/>
      </c>
      <c r="U766" s="194"/>
      <c r="V766" s="218" t="e">
        <f>IF(C766="",NA(),IF(OR(C766="Smelter not listed",C766="Smelter not yet identified"),MATCH($B766&amp;$D766,'Smelter Look-up'!$J:$J,0),MATCH($B766&amp;$C766,'Smelter Look-up'!$J:$J,0)))</f>
        <v>#N/A</v>
      </c>
      <c r="X766" s="219">
        <f t="shared" ca="1" si="112"/>
        <v>0</v>
      </c>
      <c r="AB766" s="220" t="str">
        <f t="shared" si="113"/>
        <v/>
      </c>
    </row>
    <row r="767" spans="1:28" s="219" customFormat="1" ht="20.25">
      <c r="A767" s="174"/>
      <c r="B767" s="175" t="str">
        <f>IF(LEN(A767)=0,"",INDEX('Smelter Look-up'!$A:$A,MATCH($A767,'Smelter Look-up'!$E:$E,0)))</f>
        <v/>
      </c>
      <c r="C767" s="179" t="str">
        <f>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11"/>
        <v/>
      </c>
      <c r="T767" s="174" t="str">
        <f ca="1">IF(B767="","",IF(ISERROR(MATCH($J767,SorP!$B$1:$B$6279,0)),"",INDIRECT("'SorP'!$A$"&amp;MATCH($S767&amp;$J767,SorP!C:C,0))))</f>
        <v/>
      </c>
      <c r="U767" s="194"/>
      <c r="V767" s="218" t="e">
        <f>IF(C767="",NA(),IF(OR(C767="Smelter not listed",C767="Smelter not yet identified"),MATCH($B767&amp;$D767,'Smelter Look-up'!$J:$J,0),MATCH($B767&amp;$C767,'Smelter Look-up'!$J:$J,0)))</f>
        <v>#N/A</v>
      </c>
      <c r="X767" s="219">
        <f t="shared" ca="1" si="112"/>
        <v>0</v>
      </c>
      <c r="AB767" s="220" t="str">
        <f t="shared" si="113"/>
        <v/>
      </c>
    </row>
    <row r="768" spans="1:28" s="219" customFormat="1" ht="20.25">
      <c r="A768" s="174"/>
      <c r="B768" s="175" t="str">
        <f>IF(LEN(A768)=0,"",INDEX('Smelter Look-up'!$A:$A,MATCH($A768,'Smelter Look-up'!$E:$E,0)))</f>
        <v/>
      </c>
      <c r="C768" s="179" t="str">
        <f>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11"/>
        <v/>
      </c>
      <c r="T768" s="174" t="str">
        <f ca="1">IF(B768="","",IF(ISERROR(MATCH($J768,SorP!$B$1:$B$6279,0)),"",INDIRECT("'SorP'!$A$"&amp;MATCH($S768&amp;$J768,SorP!C:C,0))))</f>
        <v/>
      </c>
      <c r="U768" s="194"/>
      <c r="V768" s="218" t="e">
        <f>IF(C768="",NA(),IF(OR(C768="Smelter not listed",C768="Smelter not yet identified"),MATCH($B768&amp;$D768,'Smelter Look-up'!$J:$J,0),MATCH($B768&amp;$C768,'Smelter Look-up'!$J:$J,0)))</f>
        <v>#N/A</v>
      </c>
      <c r="X768" s="219">
        <f t="shared" ca="1" si="112"/>
        <v>0</v>
      </c>
      <c r="AB768" s="220" t="str">
        <f t="shared" si="113"/>
        <v/>
      </c>
    </row>
    <row r="769" spans="1:28" s="219" customFormat="1" ht="20.25">
      <c r="A769" s="174"/>
      <c r="B769" s="175" t="str">
        <f>IF(LEN(A769)=0,"",INDEX('Smelter Look-up'!$A:$A,MATCH($A769,'Smelter Look-up'!$E:$E,0)))</f>
        <v/>
      </c>
      <c r="C769" s="179" t="str">
        <f>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11"/>
        <v/>
      </c>
      <c r="T769" s="174" t="str">
        <f ca="1">IF(B769="","",IF(ISERROR(MATCH($J769,SorP!$B$1:$B$6279,0)),"",INDIRECT("'SorP'!$A$"&amp;MATCH($S769&amp;$J769,SorP!C:C,0))))</f>
        <v/>
      </c>
      <c r="U769" s="194"/>
      <c r="V769" s="218" t="e">
        <f>IF(C769="",NA(),IF(OR(C769="Smelter not listed",C769="Smelter not yet identified"),MATCH($B769&amp;$D769,'Smelter Look-up'!$J:$J,0),MATCH($B769&amp;$C769,'Smelter Look-up'!$J:$J,0)))</f>
        <v>#N/A</v>
      </c>
      <c r="X769" s="219">
        <f t="shared" ca="1" si="112"/>
        <v>0</v>
      </c>
      <c r="AB769" s="220" t="str">
        <f t="shared" si="113"/>
        <v/>
      </c>
    </row>
    <row r="770" spans="1:28" s="219" customFormat="1" ht="20.25">
      <c r="A770" s="174"/>
      <c r="B770" s="175" t="str">
        <f>IF(LEN(A770)=0,"",INDEX('Smelter Look-up'!$A:$A,MATCH($A770,'Smelter Look-up'!$E:$E,0)))</f>
        <v/>
      </c>
      <c r="C770" s="179" t="str">
        <f>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11"/>
        <v/>
      </c>
      <c r="T770" s="174" t="str">
        <f ca="1">IF(B770="","",IF(ISERROR(MATCH($J770,SorP!$B$1:$B$6279,0)),"",INDIRECT("'SorP'!$A$"&amp;MATCH($S770&amp;$J770,SorP!C:C,0))))</f>
        <v/>
      </c>
      <c r="U770" s="194"/>
      <c r="V770" s="218" t="e">
        <f>IF(C770="",NA(),IF(OR(C770="Smelter not listed",C770="Smelter not yet identified"),MATCH($B770&amp;$D770,'Smelter Look-up'!$J:$J,0),MATCH($B770&amp;$C770,'Smelter Look-up'!$J:$J,0)))</f>
        <v>#N/A</v>
      </c>
      <c r="X770" s="219">
        <f t="shared" ca="1" si="112"/>
        <v>0</v>
      </c>
      <c r="AB770" s="220" t="str">
        <f t="shared" si="113"/>
        <v/>
      </c>
    </row>
    <row r="771" spans="1:28" s="219" customFormat="1" ht="20.25">
      <c r="A771" s="174"/>
      <c r="B771" s="175" t="str">
        <f>IF(LEN(A771)=0,"",INDEX('Smelter Look-up'!$A:$A,MATCH($A771,'Smelter Look-up'!$E:$E,0)))</f>
        <v/>
      </c>
      <c r="C771" s="179" t="str">
        <f>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11"/>
        <v/>
      </c>
      <c r="T771" s="174" t="str">
        <f ca="1">IF(B771="","",IF(ISERROR(MATCH($J771,SorP!$B$1:$B$6279,0)),"",INDIRECT("'SorP'!$A$"&amp;MATCH($S771&amp;$J771,SorP!C:C,0))))</f>
        <v/>
      </c>
      <c r="U771" s="194"/>
      <c r="V771" s="218" t="e">
        <f>IF(C771="",NA(),IF(OR(C771="Smelter not listed",C771="Smelter not yet identified"),MATCH($B771&amp;$D771,'Smelter Look-up'!$J:$J,0),MATCH($B771&amp;$C771,'Smelter Look-up'!$J:$J,0)))</f>
        <v>#N/A</v>
      </c>
      <c r="X771" s="219">
        <f t="shared" ca="1" si="112"/>
        <v>0</v>
      </c>
      <c r="AB771" s="220" t="str">
        <f t="shared" si="113"/>
        <v/>
      </c>
    </row>
    <row r="772" spans="1:28" s="219" customFormat="1" ht="20.25">
      <c r="A772" s="174"/>
      <c r="B772" s="175" t="str">
        <f>IF(LEN(A772)=0,"",INDEX('Smelter Look-up'!$A:$A,MATCH($A772,'Smelter Look-up'!$E:$E,0)))</f>
        <v/>
      </c>
      <c r="C772" s="179" t="str">
        <f>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11"/>
        <v/>
      </c>
      <c r="T772" s="174" t="str">
        <f ca="1">IF(B772="","",IF(ISERROR(MATCH($J772,SorP!$B$1:$B$6279,0)),"",INDIRECT("'SorP'!$A$"&amp;MATCH($S772&amp;$J772,SorP!C:C,0))))</f>
        <v/>
      </c>
      <c r="U772" s="194"/>
      <c r="V772" s="218" t="e">
        <f>IF(C772="",NA(),IF(OR(C772="Smelter not listed",C772="Smelter not yet identified"),MATCH($B772&amp;$D772,'Smelter Look-up'!$J:$J,0),MATCH($B772&amp;$C772,'Smelter Look-up'!$J:$J,0)))</f>
        <v>#N/A</v>
      </c>
      <c r="X772" s="219">
        <f t="shared" ca="1" si="112"/>
        <v>0</v>
      </c>
      <c r="AB772" s="220" t="str">
        <f t="shared" si="113"/>
        <v/>
      </c>
    </row>
    <row r="773" spans="1:28" s="219" customFormat="1" ht="20.25">
      <c r="A773" s="174"/>
      <c r="B773" s="175" t="str">
        <f>IF(LEN(A773)=0,"",INDEX('Smelter Look-up'!$A:$A,MATCH($A773,'Smelter Look-up'!$E:$E,0)))</f>
        <v/>
      </c>
      <c r="C773" s="179" t="str">
        <f>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11"/>
        <v/>
      </c>
      <c r="T773" s="174" t="str">
        <f ca="1">IF(B773="","",IF(ISERROR(MATCH($J773,SorP!$B$1:$B$6279,0)),"",INDIRECT("'SorP'!$A$"&amp;MATCH($S773&amp;$J773,SorP!C:C,0))))</f>
        <v/>
      </c>
      <c r="U773" s="194"/>
      <c r="V773" s="218" t="e">
        <f>IF(C773="",NA(),IF(OR(C773="Smelter not listed",C773="Smelter not yet identified"),MATCH($B773&amp;$D773,'Smelter Look-up'!$J:$J,0),MATCH($B773&amp;$C773,'Smelter Look-up'!$J:$J,0)))</f>
        <v>#N/A</v>
      </c>
      <c r="X773" s="219">
        <f t="shared" ca="1" si="112"/>
        <v>0</v>
      </c>
      <c r="AB773" s="220" t="str">
        <f t="shared" si="113"/>
        <v/>
      </c>
    </row>
    <row r="774" spans="1:28" s="219" customFormat="1" ht="20.25">
      <c r="A774" s="174"/>
      <c r="B774" s="175" t="str">
        <f>IF(LEN(A774)=0,"",INDEX('Smelter Look-up'!$A:$A,MATCH($A774,'Smelter Look-up'!$E:$E,0)))</f>
        <v/>
      </c>
      <c r="C774" s="179" t="str">
        <f>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11"/>
        <v/>
      </c>
      <c r="T774" s="174" t="str">
        <f ca="1">IF(B774="","",IF(ISERROR(MATCH($J774,SorP!$B$1:$B$6279,0)),"",INDIRECT("'SorP'!$A$"&amp;MATCH($S774&amp;$J774,SorP!C:C,0))))</f>
        <v/>
      </c>
      <c r="U774" s="194"/>
      <c r="V774" s="218" t="e">
        <f>IF(C774="",NA(),IF(OR(C774="Smelter not listed",C774="Smelter not yet identified"),MATCH($B774&amp;$D774,'Smelter Look-up'!$J:$J,0),MATCH($B774&amp;$C774,'Smelter Look-up'!$J:$J,0)))</f>
        <v>#N/A</v>
      </c>
      <c r="X774" s="219">
        <f t="shared" ca="1" si="112"/>
        <v>0</v>
      </c>
      <c r="AB774" s="220" t="str">
        <f t="shared" si="113"/>
        <v/>
      </c>
    </row>
    <row r="775" spans="1:28" s="219" customFormat="1" ht="20.25">
      <c r="A775" s="174"/>
      <c r="B775" s="175" t="str">
        <f>IF(LEN(A775)=0,"",INDEX('Smelter Look-up'!$A:$A,MATCH($A775,'Smelter Look-up'!$E:$E,0)))</f>
        <v/>
      </c>
      <c r="C775" s="179" t="str">
        <f>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11"/>
        <v/>
      </c>
      <c r="T775" s="174" t="str">
        <f ca="1">IF(B775="","",IF(ISERROR(MATCH($J775,SorP!$B$1:$B$6279,0)),"",INDIRECT("'SorP'!$A$"&amp;MATCH($S775&amp;$J775,SorP!C:C,0))))</f>
        <v/>
      </c>
      <c r="U775" s="194"/>
      <c r="V775" s="218" t="e">
        <f>IF(C775="",NA(),IF(OR(C775="Smelter not listed",C775="Smelter not yet identified"),MATCH($B775&amp;$D775,'Smelter Look-up'!$J:$J,0),MATCH($B775&amp;$C775,'Smelter Look-up'!$J:$J,0)))</f>
        <v>#N/A</v>
      </c>
      <c r="X775" s="219">
        <f t="shared" ca="1" si="112"/>
        <v>0</v>
      </c>
      <c r="AB775" s="220" t="str">
        <f t="shared" si="113"/>
        <v/>
      </c>
    </row>
    <row r="776" spans="1:28" s="219" customFormat="1" ht="20.25">
      <c r="A776" s="174"/>
      <c r="B776" s="175" t="str">
        <f>IF(LEN(A776)=0,"",INDEX('Smelter Look-up'!$A:$A,MATCH($A776,'Smelter Look-up'!$E:$E,0)))</f>
        <v/>
      </c>
      <c r="C776" s="179" t="str">
        <f>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11"/>
        <v/>
      </c>
      <c r="T776" s="174" t="str">
        <f ca="1">IF(B776="","",IF(ISERROR(MATCH($J776,SorP!$B$1:$B$6279,0)),"",INDIRECT("'SorP'!$A$"&amp;MATCH($S776&amp;$J776,SorP!C:C,0))))</f>
        <v/>
      </c>
      <c r="U776" s="194"/>
      <c r="V776" s="218" t="e">
        <f>IF(C776="",NA(),IF(OR(C776="Smelter not listed",C776="Smelter not yet identified"),MATCH($B776&amp;$D776,'Smelter Look-up'!$J:$J,0),MATCH($B776&amp;$C776,'Smelter Look-up'!$J:$J,0)))</f>
        <v>#N/A</v>
      </c>
      <c r="X776" s="219">
        <f t="shared" ca="1" si="112"/>
        <v>0</v>
      </c>
      <c r="AB776" s="220" t="str">
        <f t="shared" si="113"/>
        <v/>
      </c>
    </row>
    <row r="777" spans="1:28" s="219" customFormat="1" ht="20.25">
      <c r="A777" s="174"/>
      <c r="B777" s="175" t="str">
        <f>IF(LEN(A777)=0,"",INDEX('Smelter Look-up'!$A:$A,MATCH($A777,'Smelter Look-up'!$E:$E,0)))</f>
        <v/>
      </c>
      <c r="C777" s="179" t="str">
        <f>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11"/>
        <v/>
      </c>
      <c r="T777" s="174" t="str">
        <f ca="1">IF(B777="","",IF(ISERROR(MATCH($J777,SorP!$B$1:$B$6279,0)),"",INDIRECT("'SorP'!$A$"&amp;MATCH($S777&amp;$J777,SorP!C:C,0))))</f>
        <v/>
      </c>
      <c r="U777" s="194"/>
      <c r="V777" s="218" t="e">
        <f>IF(C777="",NA(),IF(OR(C777="Smelter not listed",C777="Smelter not yet identified"),MATCH($B777&amp;$D777,'Smelter Look-up'!$J:$J,0),MATCH($B777&amp;$C777,'Smelter Look-up'!$J:$J,0)))</f>
        <v>#N/A</v>
      </c>
      <c r="X777" s="219">
        <f t="shared" ca="1" si="112"/>
        <v>0</v>
      </c>
      <c r="AB777" s="220" t="str">
        <f t="shared" si="113"/>
        <v/>
      </c>
    </row>
    <row r="778" spans="1:28" s="219" customFormat="1" ht="20.25">
      <c r="A778" s="174"/>
      <c r="B778" s="175" t="str">
        <f>IF(LEN(A778)=0,"",INDEX('Smelter Look-up'!$A:$A,MATCH($A778,'Smelter Look-up'!$E:$E,0)))</f>
        <v/>
      </c>
      <c r="C778" s="179" t="str">
        <f>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11"/>
        <v/>
      </c>
      <c r="T778" s="174" t="str">
        <f ca="1">IF(B778="","",IF(ISERROR(MATCH($J778,SorP!$B$1:$B$6279,0)),"",INDIRECT("'SorP'!$A$"&amp;MATCH($S778&amp;$J778,SorP!C:C,0))))</f>
        <v/>
      </c>
      <c r="U778" s="194"/>
      <c r="V778" s="218" t="e">
        <f>IF(C778="",NA(),IF(OR(C778="Smelter not listed",C778="Smelter not yet identified"),MATCH($B778&amp;$D778,'Smelter Look-up'!$J:$J,0),MATCH($B778&amp;$C778,'Smelter Look-up'!$J:$J,0)))</f>
        <v>#N/A</v>
      </c>
      <c r="X778" s="219">
        <f t="shared" ca="1" si="112"/>
        <v>0</v>
      </c>
      <c r="AB778" s="220" t="str">
        <f t="shared" si="113"/>
        <v/>
      </c>
    </row>
    <row r="779" spans="1:28" s="219" customFormat="1" ht="20.25">
      <c r="A779" s="174"/>
      <c r="B779" s="175" t="str">
        <f>IF(LEN(A779)=0,"",INDEX('Smelter Look-up'!$A:$A,MATCH($A779,'Smelter Look-up'!$E:$E,0)))</f>
        <v/>
      </c>
      <c r="C779" s="179" t="str">
        <f>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11"/>
        <v/>
      </c>
      <c r="T779" s="174" t="str">
        <f ca="1">IF(B779="","",IF(ISERROR(MATCH($J779,SorP!$B$1:$B$6279,0)),"",INDIRECT("'SorP'!$A$"&amp;MATCH($S779&amp;$J779,SorP!C:C,0))))</f>
        <v/>
      </c>
      <c r="U779" s="194"/>
      <c r="V779" s="218" t="e">
        <f>IF(C779="",NA(),IF(OR(C779="Smelter not listed",C779="Smelter not yet identified"),MATCH($B779&amp;$D779,'Smelter Look-up'!$J:$J,0),MATCH($B779&amp;$C779,'Smelter Look-up'!$J:$J,0)))</f>
        <v>#N/A</v>
      </c>
      <c r="X779" s="219">
        <f t="shared" ca="1" si="112"/>
        <v>0</v>
      </c>
      <c r="AB779" s="220" t="str">
        <f t="shared" si="113"/>
        <v/>
      </c>
    </row>
    <row r="780" spans="1:28" s="219" customFormat="1" ht="20.25">
      <c r="A780" s="174"/>
      <c r="B780" s="175" t="str">
        <f>IF(LEN(A780)=0,"",INDEX('Smelter Look-up'!$A:$A,MATCH($A780,'Smelter Look-up'!$E:$E,0)))</f>
        <v/>
      </c>
      <c r="C780" s="179" t="str">
        <f>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11"/>
        <v/>
      </c>
      <c r="T780" s="174" t="str">
        <f ca="1">IF(B780="","",IF(ISERROR(MATCH($J780,SorP!$B$1:$B$6279,0)),"",INDIRECT("'SorP'!$A$"&amp;MATCH($S780&amp;$J780,SorP!C:C,0))))</f>
        <v/>
      </c>
      <c r="U780" s="194"/>
      <c r="V780" s="218" t="e">
        <f>IF(C780="",NA(),IF(OR(C780="Smelter not listed",C780="Smelter not yet identified"),MATCH($B780&amp;$D780,'Smelter Look-up'!$J:$J,0),MATCH($B780&amp;$C780,'Smelter Look-up'!$J:$J,0)))</f>
        <v>#N/A</v>
      </c>
      <c r="X780" s="219">
        <f t="shared" ca="1" si="112"/>
        <v>0</v>
      </c>
      <c r="AB780" s="220" t="str">
        <f t="shared" si="113"/>
        <v/>
      </c>
    </row>
    <row r="781" spans="1:28" s="219" customFormat="1" ht="20.25">
      <c r="A781" s="174"/>
      <c r="B781" s="175" t="str">
        <f>IF(LEN(A781)=0,"",INDEX('Smelter Look-up'!$A:$A,MATCH($A781,'Smelter Look-up'!$E:$E,0)))</f>
        <v/>
      </c>
      <c r="C781" s="179" t="str">
        <f>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11"/>
        <v/>
      </c>
      <c r="T781" s="174" t="str">
        <f ca="1">IF(B781="","",IF(ISERROR(MATCH($J781,SorP!$B$1:$B$6279,0)),"",INDIRECT("'SorP'!$A$"&amp;MATCH($S781&amp;$J781,SorP!C:C,0))))</f>
        <v/>
      </c>
      <c r="U781" s="194"/>
      <c r="V781" s="218" t="e">
        <f>IF(C781="",NA(),IF(OR(C781="Smelter not listed",C781="Smelter not yet identified"),MATCH($B781&amp;$D781,'Smelter Look-up'!$J:$J,0),MATCH($B781&amp;$C781,'Smelter Look-up'!$J:$J,0)))</f>
        <v>#N/A</v>
      </c>
      <c r="X781" s="219">
        <f t="shared" ca="1" si="112"/>
        <v>0</v>
      </c>
      <c r="AB781" s="220" t="str">
        <f t="shared" si="113"/>
        <v/>
      </c>
    </row>
    <row r="782" spans="1:28" s="219" customFormat="1" ht="20.25">
      <c r="A782" s="174"/>
      <c r="B782" s="175" t="str">
        <f>IF(LEN(A782)=0,"",INDEX('Smelter Look-up'!$A:$A,MATCH($A782,'Smelter Look-up'!$E:$E,0)))</f>
        <v/>
      </c>
      <c r="C782" s="179" t="str">
        <f>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11"/>
        <v/>
      </c>
      <c r="T782" s="174" t="str">
        <f ca="1">IF(B782="","",IF(ISERROR(MATCH($J782,SorP!$B$1:$B$6279,0)),"",INDIRECT("'SorP'!$A$"&amp;MATCH($S782&amp;$J782,SorP!C:C,0))))</f>
        <v/>
      </c>
      <c r="U782" s="194"/>
      <c r="V782" s="218" t="e">
        <f>IF(C782="",NA(),IF(OR(C782="Smelter not listed",C782="Smelter not yet identified"),MATCH($B782&amp;$D782,'Smelter Look-up'!$J:$J,0),MATCH($B782&amp;$C782,'Smelter Look-up'!$J:$J,0)))</f>
        <v>#N/A</v>
      </c>
      <c r="X782" s="219">
        <f t="shared" ca="1" si="112"/>
        <v>0</v>
      </c>
      <c r="AB782" s="220" t="str">
        <f t="shared" si="113"/>
        <v/>
      </c>
    </row>
    <row r="783" spans="1:28" s="219" customFormat="1" ht="20.25">
      <c r="A783" s="174"/>
      <c r="B783" s="175" t="str">
        <f>IF(LEN(A783)=0,"",INDEX('Smelter Look-up'!$A:$A,MATCH($A783,'Smelter Look-up'!$E:$E,0)))</f>
        <v/>
      </c>
      <c r="C783" s="179" t="str">
        <f>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11"/>
        <v/>
      </c>
      <c r="T783" s="174" t="str">
        <f ca="1">IF(B783="","",IF(ISERROR(MATCH($J783,SorP!$B$1:$B$6279,0)),"",INDIRECT("'SorP'!$A$"&amp;MATCH($S783&amp;$J783,SorP!C:C,0))))</f>
        <v/>
      </c>
      <c r="U783" s="194"/>
      <c r="V783" s="218" t="e">
        <f>IF(C783="",NA(),IF(OR(C783="Smelter not listed",C783="Smelter not yet identified"),MATCH($B783&amp;$D783,'Smelter Look-up'!$J:$J,0),MATCH($B783&amp;$C783,'Smelter Look-up'!$J:$J,0)))</f>
        <v>#N/A</v>
      </c>
      <c r="X783" s="219">
        <f t="shared" ca="1" si="112"/>
        <v>0</v>
      </c>
      <c r="AB783" s="220" t="str">
        <f t="shared" si="113"/>
        <v/>
      </c>
    </row>
    <row r="784" spans="1:28" s="219" customFormat="1" ht="20.25">
      <c r="A784" s="174"/>
      <c r="B784" s="175" t="str">
        <f>IF(LEN(A784)=0,"",INDEX('Smelter Look-up'!$A:$A,MATCH($A784,'Smelter Look-up'!$E:$E,0)))</f>
        <v/>
      </c>
      <c r="C784" s="179" t="str">
        <f>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11"/>
        <v/>
      </c>
      <c r="T784" s="174" t="str">
        <f ca="1">IF(B784="","",IF(ISERROR(MATCH($J784,SorP!$B$1:$B$6279,0)),"",INDIRECT("'SorP'!$A$"&amp;MATCH($S784&amp;$J784,SorP!C:C,0))))</f>
        <v/>
      </c>
      <c r="U784" s="194"/>
      <c r="V784" s="218" t="e">
        <f>IF(C784="",NA(),IF(OR(C784="Smelter not listed",C784="Smelter not yet identified"),MATCH($B784&amp;$D784,'Smelter Look-up'!$J:$J,0),MATCH($B784&amp;$C784,'Smelter Look-up'!$J:$J,0)))</f>
        <v>#N/A</v>
      </c>
      <c r="X784" s="219">
        <f t="shared" ca="1" si="112"/>
        <v>0</v>
      </c>
      <c r="AB784" s="220" t="str">
        <f t="shared" si="113"/>
        <v/>
      </c>
    </row>
    <row r="785" spans="1:28" s="219" customFormat="1" ht="20.25">
      <c r="A785" s="174"/>
      <c r="B785" s="175" t="str">
        <f>IF(LEN(A785)=0,"",INDEX('Smelter Look-up'!$A:$A,MATCH($A785,'Smelter Look-up'!$E:$E,0)))</f>
        <v/>
      </c>
      <c r="C785" s="179" t="str">
        <f>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11"/>
        <v/>
      </c>
      <c r="T785" s="174" t="str">
        <f ca="1">IF(B785="","",IF(ISERROR(MATCH($J785,SorP!$B$1:$B$6279,0)),"",INDIRECT("'SorP'!$A$"&amp;MATCH($S785&amp;$J785,SorP!C:C,0))))</f>
        <v/>
      </c>
      <c r="U785" s="194"/>
      <c r="V785" s="218" t="e">
        <f>IF(C785="",NA(),IF(OR(C785="Smelter not listed",C785="Smelter not yet identified"),MATCH($B785&amp;$D785,'Smelter Look-up'!$J:$J,0),MATCH($B785&amp;$C785,'Smelter Look-up'!$J:$J,0)))</f>
        <v>#N/A</v>
      </c>
      <c r="X785" s="219">
        <f t="shared" ca="1" si="112"/>
        <v>0</v>
      </c>
      <c r="AB785" s="220" t="str">
        <f t="shared" si="113"/>
        <v/>
      </c>
    </row>
    <row r="786" spans="1:28" s="219" customFormat="1" ht="20.25">
      <c r="A786" s="174"/>
      <c r="B786" s="175" t="str">
        <f>IF(LEN(A786)=0,"",INDEX('Smelter Look-up'!$A:$A,MATCH($A786,'Smelter Look-up'!$E:$E,0)))</f>
        <v/>
      </c>
      <c r="C786" s="179" t="str">
        <f>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111"/>
        <v/>
      </c>
      <c r="T786" s="174" t="str">
        <f ca="1">IF(B786="","",IF(ISERROR(MATCH($J786,SorP!$B$1:$B$6279,0)),"",INDIRECT("'SorP'!$A$"&amp;MATCH($S786&amp;$J786,SorP!C:C,0))))</f>
        <v/>
      </c>
      <c r="U786" s="194"/>
      <c r="V786" s="218" t="e">
        <f>IF(C786="",NA(),IF(OR(C786="Smelter not listed",C786="Smelter not yet identified"),MATCH($B786&amp;$D786,'Smelter Look-up'!$J:$J,0),MATCH($B786&amp;$C786,'Smelter Look-up'!$J:$J,0)))</f>
        <v>#N/A</v>
      </c>
      <c r="X786" s="219">
        <f t="shared" ca="1" si="112"/>
        <v>0</v>
      </c>
      <c r="AB786" s="220" t="str">
        <f t="shared" si="113"/>
        <v/>
      </c>
    </row>
    <row r="787" spans="1:28" s="219" customFormat="1" ht="20.25">
      <c r="A787" s="174"/>
      <c r="B787" s="175" t="str">
        <f>IF(LEN(A787)=0,"",INDEX('Smelter Look-up'!$A:$A,MATCH($A787,'Smelter Look-up'!$E:$E,0)))</f>
        <v/>
      </c>
      <c r="C787" s="179" t="str">
        <f>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111"/>
        <v/>
      </c>
      <c r="T787" s="174" t="str">
        <f ca="1">IF(B787="","",IF(ISERROR(MATCH($J787,SorP!$B$1:$B$6279,0)),"",INDIRECT("'SorP'!$A$"&amp;MATCH($S787&amp;$J787,SorP!C:C,0))))</f>
        <v/>
      </c>
      <c r="U787" s="194"/>
      <c r="V787" s="218" t="e">
        <f>IF(C787="",NA(),IF(OR(C787="Smelter not listed",C787="Smelter not yet identified"),MATCH($B787&amp;$D787,'Smelter Look-up'!$J:$J,0),MATCH($B787&amp;$C787,'Smelter Look-up'!$J:$J,0)))</f>
        <v>#N/A</v>
      </c>
      <c r="X787" s="219">
        <f t="shared" ca="1" si="112"/>
        <v>0</v>
      </c>
      <c r="AB787" s="220" t="str">
        <f t="shared" si="113"/>
        <v/>
      </c>
    </row>
    <row r="788" spans="1:28" s="219" customFormat="1" ht="20.25">
      <c r="A788" s="174"/>
      <c r="B788" s="175" t="str">
        <f>IF(LEN(A788)=0,"",INDEX('Smelter Look-up'!$A:$A,MATCH($A788,'Smelter Look-up'!$E:$E,0)))</f>
        <v/>
      </c>
      <c r="C788" s="179" t="str">
        <f>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11"/>
        <v/>
      </c>
      <c r="T788" s="174" t="str">
        <f ca="1">IF(B788="","",IF(ISERROR(MATCH($J788,SorP!$B$1:$B$6279,0)),"",INDIRECT("'SorP'!$A$"&amp;MATCH($S788&amp;$J788,SorP!C:C,0))))</f>
        <v/>
      </c>
      <c r="U788" s="194"/>
      <c r="V788" s="218" t="e">
        <f>IF(C788="",NA(),IF(OR(C788="Smelter not listed",C788="Smelter not yet identified"),MATCH($B788&amp;$D788,'Smelter Look-up'!$J:$J,0),MATCH($B788&amp;$C788,'Smelter Look-up'!$J:$J,0)))</f>
        <v>#N/A</v>
      </c>
      <c r="X788" s="219">
        <f t="shared" ca="1" si="112"/>
        <v>0</v>
      </c>
      <c r="AB788" s="220" t="str">
        <f t="shared" si="113"/>
        <v/>
      </c>
    </row>
    <row r="789" spans="1:28" s="219" customFormat="1" ht="20.25">
      <c r="A789" s="174"/>
      <c r="B789" s="175" t="str">
        <f>IF(LEN(A789)=0,"",INDEX('Smelter Look-up'!$A:$A,MATCH($A789,'Smelter Look-up'!$E:$E,0)))</f>
        <v/>
      </c>
      <c r="C789" s="179" t="str">
        <f>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11"/>
        <v/>
      </c>
      <c r="T789" s="174" t="str">
        <f ca="1">IF(B789="","",IF(ISERROR(MATCH($J789,SorP!$B$1:$B$6279,0)),"",INDIRECT("'SorP'!$A$"&amp;MATCH($S789&amp;$J789,SorP!C:C,0))))</f>
        <v/>
      </c>
      <c r="U789" s="194"/>
      <c r="V789" s="218" t="e">
        <f>IF(C789="",NA(),IF(OR(C789="Smelter not listed",C789="Smelter not yet identified"),MATCH($B789&amp;$D789,'Smelter Look-up'!$J:$J,0),MATCH($B789&amp;$C789,'Smelter Look-up'!$J:$J,0)))</f>
        <v>#N/A</v>
      </c>
      <c r="X789" s="219">
        <f t="shared" ca="1" si="112"/>
        <v>0</v>
      </c>
      <c r="AB789" s="220" t="str">
        <f t="shared" si="113"/>
        <v/>
      </c>
    </row>
    <row r="790" spans="1:28" s="219" customFormat="1" ht="20.25">
      <c r="A790" s="174"/>
      <c r="B790" s="175" t="str">
        <f>IF(LEN(A790)=0,"",INDEX('Smelter Look-up'!$A:$A,MATCH($A790,'Smelter Look-up'!$E:$E,0)))</f>
        <v/>
      </c>
      <c r="C790" s="179" t="str">
        <f>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11"/>
        <v/>
      </c>
      <c r="T790" s="174" t="str">
        <f ca="1">IF(B790="","",IF(ISERROR(MATCH($J790,SorP!$B$1:$B$6279,0)),"",INDIRECT("'SorP'!$A$"&amp;MATCH($S790&amp;$J790,SorP!C:C,0))))</f>
        <v/>
      </c>
      <c r="U790" s="194"/>
      <c r="V790" s="218" t="e">
        <f>IF(C790="",NA(),IF(OR(C790="Smelter not listed",C790="Smelter not yet identified"),MATCH($B790&amp;$D790,'Smelter Look-up'!$J:$J,0),MATCH($B790&amp;$C790,'Smelter Look-up'!$J:$J,0)))</f>
        <v>#N/A</v>
      </c>
      <c r="X790" s="219">
        <f t="shared" ca="1" si="112"/>
        <v>0</v>
      </c>
      <c r="AB790" s="220" t="str">
        <f t="shared" si="113"/>
        <v/>
      </c>
    </row>
    <row r="791" spans="1:28" s="219" customFormat="1" ht="20.25">
      <c r="A791" s="174"/>
      <c r="B791" s="175" t="str">
        <f>IF(LEN(A791)=0,"",INDEX('Smelter Look-up'!$A:$A,MATCH($A791,'Smelter Look-up'!$E:$E,0)))</f>
        <v/>
      </c>
      <c r="C791" s="179" t="str">
        <f>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11"/>
        <v/>
      </c>
      <c r="T791" s="174" t="str">
        <f ca="1">IF(B791="","",IF(ISERROR(MATCH($J791,SorP!$B$1:$B$6279,0)),"",INDIRECT("'SorP'!$A$"&amp;MATCH($S791&amp;$J791,SorP!C:C,0))))</f>
        <v/>
      </c>
      <c r="U791" s="194"/>
      <c r="V791" s="218" t="e">
        <f>IF(C791="",NA(),IF(OR(C791="Smelter not listed",C791="Smelter not yet identified"),MATCH($B791&amp;$D791,'Smelter Look-up'!$J:$J,0),MATCH($B791&amp;$C791,'Smelter Look-up'!$J:$J,0)))</f>
        <v>#N/A</v>
      </c>
      <c r="X791" s="219">
        <f t="shared" ca="1" si="112"/>
        <v>0</v>
      </c>
      <c r="AB791" s="220" t="str">
        <f t="shared" si="113"/>
        <v/>
      </c>
    </row>
    <row r="792" spans="1:28" s="219" customFormat="1" ht="20.25">
      <c r="A792" s="174"/>
      <c r="B792" s="175" t="str">
        <f>IF(LEN(A792)=0,"",INDEX('Smelter Look-up'!$A:$A,MATCH($A792,'Smelter Look-up'!$E:$E,0)))</f>
        <v/>
      </c>
      <c r="C792" s="179" t="str">
        <f>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11"/>
        <v/>
      </c>
      <c r="T792" s="174" t="str">
        <f ca="1">IF(B792="","",IF(ISERROR(MATCH($J792,SorP!$B$1:$B$6279,0)),"",INDIRECT("'SorP'!$A$"&amp;MATCH($S792&amp;$J792,SorP!C:C,0))))</f>
        <v/>
      </c>
      <c r="U792" s="194"/>
      <c r="V792" s="218" t="e">
        <f>IF(C792="",NA(),IF(OR(C792="Smelter not listed",C792="Smelter not yet identified"),MATCH($B792&amp;$D792,'Smelter Look-up'!$J:$J,0),MATCH($B792&amp;$C792,'Smelter Look-up'!$J:$J,0)))</f>
        <v>#N/A</v>
      </c>
      <c r="X792" s="219">
        <f t="shared" ca="1" si="112"/>
        <v>0</v>
      </c>
      <c r="AB792" s="220" t="str">
        <f t="shared" si="113"/>
        <v/>
      </c>
    </row>
    <row r="793" spans="1:28" s="219" customFormat="1" ht="20.25">
      <c r="A793" s="174"/>
      <c r="B793" s="175" t="str">
        <f>IF(LEN(A793)=0,"",INDEX('Smelter Look-up'!$A:$A,MATCH($A793,'Smelter Look-up'!$E:$E,0)))</f>
        <v/>
      </c>
      <c r="C793" s="179" t="str">
        <f>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11"/>
        <v/>
      </c>
      <c r="T793" s="174" t="str">
        <f ca="1">IF(B793="","",IF(ISERROR(MATCH($J793,SorP!$B$1:$B$6279,0)),"",INDIRECT("'SorP'!$A$"&amp;MATCH($S793&amp;$J793,SorP!C:C,0))))</f>
        <v/>
      </c>
      <c r="U793" s="194"/>
      <c r="V793" s="218" t="e">
        <f>IF(C793="",NA(),IF(OR(C793="Smelter not listed",C793="Smelter not yet identified"),MATCH($B793&amp;$D793,'Smelter Look-up'!$J:$J,0),MATCH($B793&amp;$C793,'Smelter Look-up'!$J:$J,0)))</f>
        <v>#N/A</v>
      </c>
      <c r="X793" s="219">
        <f t="shared" ca="1" si="112"/>
        <v>0</v>
      </c>
      <c r="AB793" s="220" t="str">
        <f t="shared" si="113"/>
        <v/>
      </c>
    </row>
    <row r="794" spans="1:28" s="219" customFormat="1" ht="20.25">
      <c r="A794" s="174"/>
      <c r="B794" s="175" t="str">
        <f>IF(LEN(A794)=0,"",INDEX('Smelter Look-up'!$A:$A,MATCH($A794,'Smelter Look-up'!$E:$E,0)))</f>
        <v/>
      </c>
      <c r="C794" s="179" t="str">
        <f>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111"/>
        <v/>
      </c>
      <c r="T794" s="174" t="str">
        <f ca="1">IF(B794="","",IF(ISERROR(MATCH($J794,SorP!$B$1:$B$6279,0)),"",INDIRECT("'SorP'!$A$"&amp;MATCH($S794&amp;$J794,SorP!C:C,0))))</f>
        <v/>
      </c>
      <c r="U794" s="194"/>
      <c r="V794" s="218" t="e">
        <f>IF(C794="",NA(),IF(OR(C794="Smelter not listed",C794="Smelter not yet identified"),MATCH($B794&amp;$D794,'Smelter Look-up'!$J:$J,0),MATCH($B794&amp;$C794,'Smelter Look-up'!$J:$J,0)))</f>
        <v>#N/A</v>
      </c>
      <c r="X794" s="219">
        <f t="shared" ca="1" si="112"/>
        <v>0</v>
      </c>
      <c r="AB794" s="220" t="str">
        <f t="shared" si="113"/>
        <v/>
      </c>
    </row>
    <row r="795" spans="1:28" s="219" customFormat="1" ht="20.25">
      <c r="A795" s="174"/>
      <c r="B795" s="175" t="str">
        <f>IF(LEN(A795)=0,"",INDEX('Smelter Look-up'!$A:$A,MATCH($A795,'Smelter Look-up'!$E:$E,0)))</f>
        <v/>
      </c>
      <c r="C795" s="179" t="str">
        <f>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111"/>
        <v/>
      </c>
      <c r="T795" s="174" t="str">
        <f ca="1">IF(B795="","",IF(ISERROR(MATCH($J795,SorP!$B$1:$B$6279,0)),"",INDIRECT("'SorP'!$A$"&amp;MATCH($S795&amp;$J795,SorP!C:C,0))))</f>
        <v/>
      </c>
      <c r="U795" s="194"/>
      <c r="V795" s="218" t="e">
        <f>IF(C795="",NA(),IF(OR(C795="Smelter not listed",C795="Smelter not yet identified"),MATCH($B795&amp;$D795,'Smelter Look-up'!$J:$J,0),MATCH($B795&amp;$C795,'Smelter Look-up'!$J:$J,0)))</f>
        <v>#N/A</v>
      </c>
      <c r="X795" s="219">
        <f t="shared" ca="1" si="112"/>
        <v>0</v>
      </c>
      <c r="AB795" s="220" t="str">
        <f t="shared" si="113"/>
        <v/>
      </c>
    </row>
    <row r="796" spans="1:28" s="219" customFormat="1" ht="20.25">
      <c r="A796" s="174"/>
      <c r="B796" s="175" t="str">
        <f>IF(LEN(A796)=0,"",INDEX('Smelter Look-up'!$A:$A,MATCH($A796,'Smelter Look-up'!$E:$E,0)))</f>
        <v/>
      </c>
      <c r="C796" s="179" t="str">
        <f>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ref="S796:S826" ca="1" si="114">IF(B796="","",IF(ISERROR(MATCH($E796,CL,0)),"Unknown",INDIRECT("'C'!$A$"&amp;MATCH($E796,CL,0)+1)))</f>
        <v/>
      </c>
      <c r="T796" s="174" t="str">
        <f ca="1">IF(B796="","",IF(ISERROR(MATCH($J796,SorP!$B$1:$B$6279,0)),"",INDIRECT("'SorP'!$A$"&amp;MATCH($S796&amp;$J796,SorP!C:C,0))))</f>
        <v/>
      </c>
      <c r="U796" s="194"/>
      <c r="V796" s="218" t="e">
        <f>IF(C796="",NA(),IF(OR(C796="Smelter not listed",C796="Smelter not yet identified"),MATCH($B796&amp;$D796,'Smelter Look-up'!$J:$J,0),MATCH($B796&amp;$C796,'Smelter Look-up'!$J:$J,0)))</f>
        <v>#N/A</v>
      </c>
      <c r="X796" s="219">
        <f t="shared" ref="X796:X826" ca="1" si="115">IF(AND(C796="Smelter not listed",OR(LEN(D796)=0,LEN(E796)=0)),1,0)</f>
        <v>0</v>
      </c>
      <c r="AB796" s="220" t="str">
        <f t="shared" ref="AB796:AB826" si="116">B796&amp;C796</f>
        <v/>
      </c>
    </row>
    <row r="797" spans="1:28" s="219" customFormat="1" ht="20.25">
      <c r="A797" s="174"/>
      <c r="B797" s="175" t="str">
        <f>IF(LEN(A797)=0,"",INDEX('Smelter Look-up'!$A:$A,MATCH($A797,'Smelter Look-up'!$E:$E,0)))</f>
        <v/>
      </c>
      <c r="C797" s="179" t="str">
        <f>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14"/>
        <v/>
      </c>
      <c r="T797" s="174" t="str">
        <f ca="1">IF(B797="","",IF(ISERROR(MATCH($J797,SorP!$B$1:$B$6279,0)),"",INDIRECT("'SorP'!$A$"&amp;MATCH($S797&amp;$J797,SorP!C:C,0))))</f>
        <v/>
      </c>
      <c r="U797" s="194"/>
      <c r="V797" s="218" t="e">
        <f>IF(C797="",NA(),IF(OR(C797="Smelter not listed",C797="Smelter not yet identified"),MATCH($B797&amp;$D797,'Smelter Look-up'!$J:$J,0),MATCH($B797&amp;$C797,'Smelter Look-up'!$J:$J,0)))</f>
        <v>#N/A</v>
      </c>
      <c r="X797" s="219">
        <f t="shared" ca="1" si="115"/>
        <v>0</v>
      </c>
      <c r="AB797" s="220" t="str">
        <f t="shared" si="116"/>
        <v/>
      </c>
    </row>
    <row r="798" spans="1:28" s="219" customFormat="1" ht="20.25">
      <c r="A798" s="174"/>
      <c r="B798" s="175" t="str">
        <f>IF(LEN(A798)=0,"",INDEX('Smelter Look-up'!$A:$A,MATCH($A798,'Smelter Look-up'!$E:$E,0)))</f>
        <v/>
      </c>
      <c r="C798" s="179" t="str">
        <f>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14"/>
        <v/>
      </c>
      <c r="T798" s="174" t="str">
        <f ca="1">IF(B798="","",IF(ISERROR(MATCH($J798,SorP!$B$1:$B$6279,0)),"",INDIRECT("'SorP'!$A$"&amp;MATCH($S798&amp;$J798,SorP!C:C,0))))</f>
        <v/>
      </c>
      <c r="U798" s="194"/>
      <c r="V798" s="218" t="e">
        <f>IF(C798="",NA(),IF(OR(C798="Smelter not listed",C798="Smelter not yet identified"),MATCH($B798&amp;$D798,'Smelter Look-up'!$J:$J,0),MATCH($B798&amp;$C798,'Smelter Look-up'!$J:$J,0)))</f>
        <v>#N/A</v>
      </c>
      <c r="X798" s="219">
        <f t="shared" ca="1" si="115"/>
        <v>0</v>
      </c>
      <c r="AB798" s="220" t="str">
        <f t="shared" si="116"/>
        <v/>
      </c>
    </row>
    <row r="799" spans="1:28" s="219" customFormat="1" ht="20.25">
      <c r="A799" s="174"/>
      <c r="B799" s="175" t="str">
        <f>IF(LEN(A799)=0,"",INDEX('Smelter Look-up'!$A:$A,MATCH($A799,'Smelter Look-up'!$E:$E,0)))</f>
        <v/>
      </c>
      <c r="C799" s="179" t="str">
        <f>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14"/>
        <v/>
      </c>
      <c r="T799" s="174" t="str">
        <f ca="1">IF(B799="","",IF(ISERROR(MATCH($J799,SorP!$B$1:$B$6279,0)),"",INDIRECT("'SorP'!$A$"&amp;MATCH($S799&amp;$J799,SorP!C:C,0))))</f>
        <v/>
      </c>
      <c r="U799" s="194"/>
      <c r="V799" s="218" t="e">
        <f>IF(C799="",NA(),IF(OR(C799="Smelter not listed",C799="Smelter not yet identified"),MATCH($B799&amp;$D799,'Smelter Look-up'!$J:$J,0),MATCH($B799&amp;$C799,'Smelter Look-up'!$J:$J,0)))</f>
        <v>#N/A</v>
      </c>
      <c r="X799" s="219">
        <f t="shared" ca="1" si="115"/>
        <v>0</v>
      </c>
      <c r="AB799" s="220" t="str">
        <f t="shared" si="116"/>
        <v/>
      </c>
    </row>
    <row r="800" spans="1:28" s="219" customFormat="1" ht="20.25">
      <c r="A800" s="174"/>
      <c r="B800" s="175" t="str">
        <f>IF(LEN(A800)=0,"",INDEX('Smelter Look-up'!$A:$A,MATCH($A800,'Smelter Look-up'!$E:$E,0)))</f>
        <v/>
      </c>
      <c r="C800" s="179" t="str">
        <f>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14"/>
        <v/>
      </c>
      <c r="T800" s="174" t="str">
        <f ca="1">IF(B800="","",IF(ISERROR(MATCH($J800,SorP!$B$1:$B$6279,0)),"",INDIRECT("'SorP'!$A$"&amp;MATCH($S800&amp;$J800,SorP!C:C,0))))</f>
        <v/>
      </c>
      <c r="U800" s="194"/>
      <c r="V800" s="218" t="e">
        <f>IF(C800="",NA(),IF(OR(C800="Smelter not listed",C800="Smelter not yet identified"),MATCH($B800&amp;$D800,'Smelter Look-up'!$J:$J,0),MATCH($B800&amp;$C800,'Smelter Look-up'!$J:$J,0)))</f>
        <v>#N/A</v>
      </c>
      <c r="X800" s="219">
        <f t="shared" ca="1" si="115"/>
        <v>0</v>
      </c>
      <c r="AB800" s="220" t="str">
        <f t="shared" si="116"/>
        <v/>
      </c>
    </row>
    <row r="801" spans="1:28" s="219" customFormat="1" ht="20.25">
      <c r="A801" s="174"/>
      <c r="B801" s="175" t="str">
        <f>IF(LEN(A801)=0,"",INDEX('Smelter Look-up'!$A:$A,MATCH($A801,'Smelter Look-up'!$E:$E,0)))</f>
        <v/>
      </c>
      <c r="C801" s="179" t="str">
        <f>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14"/>
        <v/>
      </c>
      <c r="T801" s="174" t="str">
        <f ca="1">IF(B801="","",IF(ISERROR(MATCH($J801,SorP!$B$1:$B$6279,0)),"",INDIRECT("'SorP'!$A$"&amp;MATCH($S801&amp;$J801,SorP!C:C,0))))</f>
        <v/>
      </c>
      <c r="U801" s="194"/>
      <c r="V801" s="218" t="e">
        <f>IF(C801="",NA(),IF(OR(C801="Smelter not listed",C801="Smelter not yet identified"),MATCH($B801&amp;$D801,'Smelter Look-up'!$J:$J,0),MATCH($B801&amp;$C801,'Smelter Look-up'!$J:$J,0)))</f>
        <v>#N/A</v>
      </c>
      <c r="X801" s="219">
        <f t="shared" ca="1" si="115"/>
        <v>0</v>
      </c>
      <c r="AB801" s="220" t="str">
        <f t="shared" si="116"/>
        <v/>
      </c>
    </row>
    <row r="802" spans="1:28" s="219" customFormat="1" ht="20.25">
      <c r="A802" s="174"/>
      <c r="B802" s="175" t="str">
        <f>IF(LEN(A802)=0,"",INDEX('Smelter Look-up'!$A:$A,MATCH($A802,'Smelter Look-up'!$E:$E,0)))</f>
        <v/>
      </c>
      <c r="C802" s="179" t="str">
        <f>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14"/>
        <v/>
      </c>
      <c r="T802" s="174" t="str">
        <f ca="1">IF(B802="","",IF(ISERROR(MATCH($J802,SorP!$B$1:$B$6279,0)),"",INDIRECT("'SorP'!$A$"&amp;MATCH($S802&amp;$J802,SorP!C:C,0))))</f>
        <v/>
      </c>
      <c r="U802" s="194"/>
      <c r="V802" s="218" t="e">
        <f>IF(C802="",NA(),IF(OR(C802="Smelter not listed",C802="Smelter not yet identified"),MATCH($B802&amp;$D802,'Smelter Look-up'!$J:$J,0),MATCH($B802&amp;$C802,'Smelter Look-up'!$J:$J,0)))</f>
        <v>#N/A</v>
      </c>
      <c r="X802" s="219">
        <f t="shared" ca="1" si="115"/>
        <v>0</v>
      </c>
      <c r="AB802" s="220" t="str">
        <f t="shared" si="116"/>
        <v/>
      </c>
    </row>
    <row r="803" spans="1:28" s="219" customFormat="1" ht="20.25">
      <c r="A803" s="174"/>
      <c r="B803" s="175" t="str">
        <f>IF(LEN(A803)=0,"",INDEX('Smelter Look-up'!$A:$A,MATCH($A803,'Smelter Look-up'!$E:$E,0)))</f>
        <v/>
      </c>
      <c r="C803" s="179" t="str">
        <f>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14"/>
        <v/>
      </c>
      <c r="T803" s="174" t="str">
        <f ca="1">IF(B803="","",IF(ISERROR(MATCH($J803,SorP!$B$1:$B$6279,0)),"",INDIRECT("'SorP'!$A$"&amp;MATCH($S803&amp;$J803,SorP!C:C,0))))</f>
        <v/>
      </c>
      <c r="U803" s="194"/>
      <c r="V803" s="218" t="e">
        <f>IF(C803="",NA(),IF(OR(C803="Smelter not listed",C803="Smelter not yet identified"),MATCH($B803&amp;$D803,'Smelter Look-up'!$J:$J,0),MATCH($B803&amp;$C803,'Smelter Look-up'!$J:$J,0)))</f>
        <v>#N/A</v>
      </c>
      <c r="X803" s="219">
        <f t="shared" ca="1" si="115"/>
        <v>0</v>
      </c>
      <c r="AB803" s="220" t="str">
        <f t="shared" si="116"/>
        <v/>
      </c>
    </row>
    <row r="804" spans="1:28" s="219" customFormat="1" ht="20.25">
      <c r="A804" s="174"/>
      <c r="B804" s="175" t="str">
        <f>IF(LEN(A804)=0,"",INDEX('Smelter Look-up'!$A:$A,MATCH($A804,'Smelter Look-up'!$E:$E,0)))</f>
        <v/>
      </c>
      <c r="C804" s="179" t="str">
        <f>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14"/>
        <v/>
      </c>
      <c r="T804" s="174" t="str">
        <f ca="1">IF(B804="","",IF(ISERROR(MATCH($J804,SorP!$B$1:$B$6279,0)),"",INDIRECT("'SorP'!$A$"&amp;MATCH($S804&amp;$J804,SorP!C:C,0))))</f>
        <v/>
      </c>
      <c r="U804" s="194"/>
      <c r="V804" s="218" t="e">
        <f>IF(C804="",NA(),IF(OR(C804="Smelter not listed",C804="Smelter not yet identified"),MATCH($B804&amp;$D804,'Smelter Look-up'!$J:$J,0),MATCH($B804&amp;$C804,'Smelter Look-up'!$J:$J,0)))</f>
        <v>#N/A</v>
      </c>
      <c r="X804" s="219">
        <f t="shared" ca="1" si="115"/>
        <v>0</v>
      </c>
      <c r="AB804" s="220" t="str">
        <f t="shared" si="116"/>
        <v/>
      </c>
    </row>
    <row r="805" spans="1:28" s="219" customFormat="1" ht="20.25">
      <c r="A805" s="174"/>
      <c r="B805" s="175" t="str">
        <f>IF(LEN(A805)=0,"",INDEX('Smelter Look-up'!$A:$A,MATCH($A805,'Smelter Look-up'!$E:$E,0)))</f>
        <v/>
      </c>
      <c r="C805" s="179" t="str">
        <f>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14"/>
        <v/>
      </c>
      <c r="T805" s="174" t="str">
        <f ca="1">IF(B805="","",IF(ISERROR(MATCH($J805,SorP!$B$1:$B$6279,0)),"",INDIRECT("'SorP'!$A$"&amp;MATCH($S805&amp;$J805,SorP!C:C,0))))</f>
        <v/>
      </c>
      <c r="U805" s="194"/>
      <c r="V805" s="218" t="e">
        <f>IF(C805="",NA(),IF(OR(C805="Smelter not listed",C805="Smelter not yet identified"),MATCH($B805&amp;$D805,'Smelter Look-up'!$J:$J,0),MATCH($B805&amp;$C805,'Smelter Look-up'!$J:$J,0)))</f>
        <v>#N/A</v>
      </c>
      <c r="X805" s="219">
        <f t="shared" ca="1" si="115"/>
        <v>0</v>
      </c>
      <c r="AB805" s="220" t="str">
        <f t="shared" si="116"/>
        <v/>
      </c>
    </row>
    <row r="806" spans="1:28" s="219" customFormat="1" ht="20.25">
      <c r="A806" s="174"/>
      <c r="B806" s="175" t="str">
        <f>IF(LEN(A806)=0,"",INDEX('Smelter Look-up'!$A:$A,MATCH($A806,'Smelter Look-up'!$E:$E,0)))</f>
        <v/>
      </c>
      <c r="C806" s="179" t="str">
        <f>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14"/>
        <v/>
      </c>
      <c r="T806" s="174" t="str">
        <f ca="1">IF(B806="","",IF(ISERROR(MATCH($J806,SorP!$B$1:$B$6279,0)),"",INDIRECT("'SorP'!$A$"&amp;MATCH($S806&amp;$J806,SorP!C:C,0))))</f>
        <v/>
      </c>
      <c r="U806" s="194"/>
      <c r="V806" s="218" t="e">
        <f>IF(C806="",NA(),IF(OR(C806="Smelter not listed",C806="Smelter not yet identified"),MATCH($B806&amp;$D806,'Smelter Look-up'!$J:$J,0),MATCH($B806&amp;$C806,'Smelter Look-up'!$J:$J,0)))</f>
        <v>#N/A</v>
      </c>
      <c r="X806" s="219">
        <f t="shared" ca="1" si="115"/>
        <v>0</v>
      </c>
      <c r="AB806" s="220" t="str">
        <f t="shared" si="116"/>
        <v/>
      </c>
    </row>
    <row r="807" spans="1:28" s="219" customFormat="1" ht="20.25">
      <c r="A807" s="174"/>
      <c r="B807" s="175" t="str">
        <f>IF(LEN(A807)=0,"",INDEX('Smelter Look-up'!$A:$A,MATCH($A807,'Smelter Look-up'!$E:$E,0)))</f>
        <v/>
      </c>
      <c r="C807" s="179" t="str">
        <f>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14"/>
        <v/>
      </c>
      <c r="T807" s="174" t="str">
        <f ca="1">IF(B807="","",IF(ISERROR(MATCH($J807,SorP!$B$1:$B$6279,0)),"",INDIRECT("'SorP'!$A$"&amp;MATCH($S807&amp;$J807,SorP!C:C,0))))</f>
        <v/>
      </c>
      <c r="U807" s="194"/>
      <c r="V807" s="218" t="e">
        <f>IF(C807="",NA(),IF(OR(C807="Smelter not listed",C807="Smelter not yet identified"),MATCH($B807&amp;$D807,'Smelter Look-up'!$J:$J,0),MATCH($B807&amp;$C807,'Smelter Look-up'!$J:$J,0)))</f>
        <v>#N/A</v>
      </c>
      <c r="X807" s="219">
        <f t="shared" ca="1" si="115"/>
        <v>0</v>
      </c>
      <c r="AB807" s="220" t="str">
        <f t="shared" si="116"/>
        <v/>
      </c>
    </row>
    <row r="808" spans="1:28" s="219" customFormat="1" ht="20.25">
      <c r="A808" s="174"/>
      <c r="B808" s="175" t="str">
        <f>IF(LEN(A808)=0,"",INDEX('Smelter Look-up'!$A:$A,MATCH($A808,'Smelter Look-up'!$E:$E,0)))</f>
        <v/>
      </c>
      <c r="C808" s="179" t="str">
        <f>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14"/>
        <v/>
      </c>
      <c r="T808" s="174" t="str">
        <f ca="1">IF(B808="","",IF(ISERROR(MATCH($J808,SorP!$B$1:$B$6279,0)),"",INDIRECT("'SorP'!$A$"&amp;MATCH($S808&amp;$J808,SorP!C:C,0))))</f>
        <v/>
      </c>
      <c r="U808" s="194"/>
      <c r="V808" s="218" t="e">
        <f>IF(C808="",NA(),IF(OR(C808="Smelter not listed",C808="Smelter not yet identified"),MATCH($B808&amp;$D808,'Smelter Look-up'!$J:$J,0),MATCH($B808&amp;$C808,'Smelter Look-up'!$J:$J,0)))</f>
        <v>#N/A</v>
      </c>
      <c r="X808" s="219">
        <f t="shared" ca="1" si="115"/>
        <v>0</v>
      </c>
      <c r="AB808" s="220" t="str">
        <f t="shared" si="116"/>
        <v/>
      </c>
    </row>
    <row r="809" spans="1:28" s="219" customFormat="1" ht="20.25">
      <c r="A809" s="174"/>
      <c r="B809" s="175" t="str">
        <f>IF(LEN(A809)=0,"",INDEX('Smelter Look-up'!$A:$A,MATCH($A809,'Smelter Look-up'!$E:$E,0)))</f>
        <v/>
      </c>
      <c r="C809" s="179" t="str">
        <f>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14"/>
        <v/>
      </c>
      <c r="T809" s="174" t="str">
        <f ca="1">IF(B809="","",IF(ISERROR(MATCH($J809,SorP!$B$1:$B$6279,0)),"",INDIRECT("'SorP'!$A$"&amp;MATCH($S809&amp;$J809,SorP!C:C,0))))</f>
        <v/>
      </c>
      <c r="U809" s="194"/>
      <c r="V809" s="218" t="e">
        <f>IF(C809="",NA(),IF(OR(C809="Smelter not listed",C809="Smelter not yet identified"),MATCH($B809&amp;$D809,'Smelter Look-up'!$J:$J,0),MATCH($B809&amp;$C809,'Smelter Look-up'!$J:$J,0)))</f>
        <v>#N/A</v>
      </c>
      <c r="X809" s="219">
        <f t="shared" ca="1" si="115"/>
        <v>0</v>
      </c>
      <c r="AB809" s="220" t="str">
        <f t="shared" si="116"/>
        <v/>
      </c>
    </row>
    <row r="810" spans="1:28" s="219" customFormat="1" ht="20.25">
      <c r="A810" s="174"/>
      <c r="B810" s="175" t="str">
        <f>IF(LEN(A810)=0,"",INDEX('Smelter Look-up'!$A:$A,MATCH($A810,'Smelter Look-up'!$E:$E,0)))</f>
        <v/>
      </c>
      <c r="C810" s="179" t="str">
        <f>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14"/>
        <v/>
      </c>
      <c r="T810" s="174" t="str">
        <f ca="1">IF(B810="","",IF(ISERROR(MATCH($J810,SorP!$B$1:$B$6279,0)),"",INDIRECT("'SorP'!$A$"&amp;MATCH($S810&amp;$J810,SorP!C:C,0))))</f>
        <v/>
      </c>
      <c r="U810" s="194"/>
      <c r="V810" s="218" t="e">
        <f>IF(C810="",NA(),IF(OR(C810="Smelter not listed",C810="Smelter not yet identified"),MATCH($B810&amp;$D810,'Smelter Look-up'!$J:$J,0),MATCH($B810&amp;$C810,'Smelter Look-up'!$J:$J,0)))</f>
        <v>#N/A</v>
      </c>
      <c r="X810" s="219">
        <f t="shared" ca="1" si="115"/>
        <v>0</v>
      </c>
      <c r="AB810" s="220" t="str">
        <f t="shared" si="116"/>
        <v/>
      </c>
    </row>
    <row r="811" spans="1:28" s="219" customFormat="1" ht="20.25">
      <c r="A811" s="174"/>
      <c r="B811" s="175" t="str">
        <f>IF(LEN(A811)=0,"",INDEX('Smelter Look-up'!$A:$A,MATCH($A811,'Smelter Look-up'!$E:$E,0)))</f>
        <v/>
      </c>
      <c r="C811" s="179" t="str">
        <f>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14"/>
        <v/>
      </c>
      <c r="T811" s="174" t="str">
        <f ca="1">IF(B811="","",IF(ISERROR(MATCH($J811,SorP!$B$1:$B$6279,0)),"",INDIRECT("'SorP'!$A$"&amp;MATCH($S811&amp;$J811,SorP!C:C,0))))</f>
        <v/>
      </c>
      <c r="U811" s="194"/>
      <c r="V811" s="218" t="e">
        <f>IF(C811="",NA(),IF(OR(C811="Smelter not listed",C811="Smelter not yet identified"),MATCH($B811&amp;$D811,'Smelter Look-up'!$J:$J,0),MATCH($B811&amp;$C811,'Smelter Look-up'!$J:$J,0)))</f>
        <v>#N/A</v>
      </c>
      <c r="X811" s="219">
        <f t="shared" ca="1" si="115"/>
        <v>0</v>
      </c>
      <c r="AB811" s="220" t="str">
        <f t="shared" si="116"/>
        <v/>
      </c>
    </row>
    <row r="812" spans="1:28" s="219" customFormat="1" ht="20.25">
      <c r="A812" s="174"/>
      <c r="B812" s="175" t="str">
        <f>IF(LEN(A812)=0,"",INDEX('Smelter Look-up'!$A:$A,MATCH($A812,'Smelter Look-up'!$E:$E,0)))</f>
        <v/>
      </c>
      <c r="C812" s="179" t="str">
        <f>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14"/>
        <v/>
      </c>
      <c r="T812" s="174" t="str">
        <f ca="1">IF(B812="","",IF(ISERROR(MATCH($J812,SorP!$B$1:$B$6279,0)),"",INDIRECT("'SorP'!$A$"&amp;MATCH($S812&amp;$J812,SorP!C:C,0))))</f>
        <v/>
      </c>
      <c r="U812" s="194"/>
      <c r="V812" s="218" t="e">
        <f>IF(C812="",NA(),IF(OR(C812="Smelter not listed",C812="Smelter not yet identified"),MATCH($B812&amp;$D812,'Smelter Look-up'!$J:$J,0),MATCH($B812&amp;$C812,'Smelter Look-up'!$J:$J,0)))</f>
        <v>#N/A</v>
      </c>
      <c r="X812" s="219">
        <f t="shared" ca="1" si="115"/>
        <v>0</v>
      </c>
      <c r="AB812" s="220" t="str">
        <f t="shared" si="116"/>
        <v/>
      </c>
    </row>
    <row r="813" spans="1:28" s="219" customFormat="1" ht="20.25">
      <c r="A813" s="174"/>
      <c r="B813" s="175" t="str">
        <f>IF(LEN(A813)=0,"",INDEX('Smelter Look-up'!$A:$A,MATCH($A813,'Smelter Look-up'!$E:$E,0)))</f>
        <v/>
      </c>
      <c r="C813" s="179" t="str">
        <f>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14"/>
        <v/>
      </c>
      <c r="T813" s="174" t="str">
        <f ca="1">IF(B813="","",IF(ISERROR(MATCH($J813,SorP!$B$1:$B$6279,0)),"",INDIRECT("'SorP'!$A$"&amp;MATCH($S813&amp;$J813,SorP!C:C,0))))</f>
        <v/>
      </c>
      <c r="U813" s="194"/>
      <c r="V813" s="218" t="e">
        <f>IF(C813="",NA(),IF(OR(C813="Smelter not listed",C813="Smelter not yet identified"),MATCH($B813&amp;$D813,'Smelter Look-up'!$J:$J,0),MATCH($B813&amp;$C813,'Smelter Look-up'!$J:$J,0)))</f>
        <v>#N/A</v>
      </c>
      <c r="X813" s="219">
        <f t="shared" ca="1" si="115"/>
        <v>0</v>
      </c>
      <c r="AB813" s="220" t="str">
        <f t="shared" si="116"/>
        <v/>
      </c>
    </row>
    <row r="814" spans="1:28" s="219" customFormat="1" ht="20.25">
      <c r="A814" s="174"/>
      <c r="B814" s="175" t="str">
        <f>IF(LEN(A814)=0,"",INDEX('Smelter Look-up'!$A:$A,MATCH($A814,'Smelter Look-up'!$E:$E,0)))</f>
        <v/>
      </c>
      <c r="C814" s="179" t="str">
        <f>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14"/>
        <v/>
      </c>
      <c r="T814" s="174" t="str">
        <f ca="1">IF(B814="","",IF(ISERROR(MATCH($J814,SorP!$B$1:$B$6279,0)),"",INDIRECT("'SorP'!$A$"&amp;MATCH($S814&amp;$J814,SorP!C:C,0))))</f>
        <v/>
      </c>
      <c r="U814" s="194"/>
      <c r="V814" s="218" t="e">
        <f>IF(C814="",NA(),IF(OR(C814="Smelter not listed",C814="Smelter not yet identified"),MATCH($B814&amp;$D814,'Smelter Look-up'!$J:$J,0),MATCH($B814&amp;$C814,'Smelter Look-up'!$J:$J,0)))</f>
        <v>#N/A</v>
      </c>
      <c r="X814" s="219">
        <f t="shared" ca="1" si="115"/>
        <v>0</v>
      </c>
      <c r="AB814" s="220" t="str">
        <f t="shared" si="116"/>
        <v/>
      </c>
    </row>
    <row r="815" spans="1:28" s="219" customFormat="1" ht="20.25">
      <c r="A815" s="174"/>
      <c r="B815" s="175" t="str">
        <f>IF(LEN(A815)=0,"",INDEX('Smelter Look-up'!$A:$A,MATCH($A815,'Smelter Look-up'!$E:$E,0)))</f>
        <v/>
      </c>
      <c r="C815" s="179" t="str">
        <f>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14"/>
        <v/>
      </c>
      <c r="T815" s="174" t="str">
        <f ca="1">IF(B815="","",IF(ISERROR(MATCH($J815,SorP!$B$1:$B$6279,0)),"",INDIRECT("'SorP'!$A$"&amp;MATCH($S815&amp;$J815,SorP!C:C,0))))</f>
        <v/>
      </c>
      <c r="U815" s="194"/>
      <c r="V815" s="218" t="e">
        <f>IF(C815="",NA(),IF(OR(C815="Smelter not listed",C815="Smelter not yet identified"),MATCH($B815&amp;$D815,'Smelter Look-up'!$J:$J,0),MATCH($B815&amp;$C815,'Smelter Look-up'!$J:$J,0)))</f>
        <v>#N/A</v>
      </c>
      <c r="X815" s="219">
        <f t="shared" ca="1" si="115"/>
        <v>0</v>
      </c>
      <c r="AB815" s="220" t="str">
        <f t="shared" si="116"/>
        <v/>
      </c>
    </row>
    <row r="816" spans="1:28" s="219" customFormat="1" ht="20.25">
      <c r="A816" s="174"/>
      <c r="B816" s="175" t="str">
        <f>IF(LEN(A816)=0,"",INDEX('Smelter Look-up'!$A:$A,MATCH($A816,'Smelter Look-up'!$E:$E,0)))</f>
        <v/>
      </c>
      <c r="C816" s="179" t="str">
        <f>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14"/>
        <v/>
      </c>
      <c r="T816" s="174" t="str">
        <f ca="1">IF(B816="","",IF(ISERROR(MATCH($J816,SorP!$B$1:$B$6279,0)),"",INDIRECT("'SorP'!$A$"&amp;MATCH($S816&amp;$J816,SorP!C:C,0))))</f>
        <v/>
      </c>
      <c r="U816" s="194"/>
      <c r="V816" s="218" t="e">
        <f>IF(C816="",NA(),IF(OR(C816="Smelter not listed",C816="Smelter not yet identified"),MATCH($B816&amp;$D816,'Smelter Look-up'!$J:$J,0),MATCH($B816&amp;$C816,'Smelter Look-up'!$J:$J,0)))</f>
        <v>#N/A</v>
      </c>
      <c r="X816" s="219">
        <f t="shared" ca="1" si="115"/>
        <v>0</v>
      </c>
      <c r="AB816" s="220" t="str">
        <f t="shared" si="116"/>
        <v/>
      </c>
    </row>
    <row r="817" spans="1:28" s="219" customFormat="1" ht="20.25">
      <c r="A817" s="174"/>
      <c r="B817" s="175" t="str">
        <f>IF(LEN(A817)=0,"",INDEX('Smelter Look-up'!$A:$A,MATCH($A817,'Smelter Look-up'!$E:$E,0)))</f>
        <v/>
      </c>
      <c r="C817" s="179" t="str">
        <f>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14"/>
        <v/>
      </c>
      <c r="T817" s="174" t="str">
        <f ca="1">IF(B817="","",IF(ISERROR(MATCH($J817,SorP!$B$1:$B$6279,0)),"",INDIRECT("'SorP'!$A$"&amp;MATCH($S817&amp;$J817,SorP!C:C,0))))</f>
        <v/>
      </c>
      <c r="U817" s="194"/>
      <c r="V817" s="218" t="e">
        <f>IF(C817="",NA(),IF(OR(C817="Smelter not listed",C817="Smelter not yet identified"),MATCH($B817&amp;$D817,'Smelter Look-up'!$J:$J,0),MATCH($B817&amp;$C817,'Smelter Look-up'!$J:$J,0)))</f>
        <v>#N/A</v>
      </c>
      <c r="X817" s="219">
        <f t="shared" ca="1" si="115"/>
        <v>0</v>
      </c>
      <c r="AB817" s="220" t="str">
        <f t="shared" si="116"/>
        <v/>
      </c>
    </row>
    <row r="818" spans="1:28" s="219" customFormat="1" ht="20.25">
      <c r="A818" s="174"/>
      <c r="B818" s="175" t="str">
        <f>IF(LEN(A818)=0,"",INDEX('Smelter Look-up'!$A:$A,MATCH($A818,'Smelter Look-up'!$E:$E,0)))</f>
        <v/>
      </c>
      <c r="C818" s="179" t="str">
        <f>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14"/>
        <v/>
      </c>
      <c r="T818" s="174" t="str">
        <f ca="1">IF(B818="","",IF(ISERROR(MATCH($J818,SorP!$B$1:$B$6279,0)),"",INDIRECT("'SorP'!$A$"&amp;MATCH($S818&amp;$J818,SorP!C:C,0))))</f>
        <v/>
      </c>
      <c r="U818" s="194"/>
      <c r="V818" s="218" t="e">
        <f>IF(C818="",NA(),IF(OR(C818="Smelter not listed",C818="Smelter not yet identified"),MATCH($B818&amp;$D818,'Smelter Look-up'!$J:$J,0),MATCH($B818&amp;$C818,'Smelter Look-up'!$J:$J,0)))</f>
        <v>#N/A</v>
      </c>
      <c r="X818" s="219">
        <f t="shared" ca="1" si="115"/>
        <v>0</v>
      </c>
      <c r="AB818" s="220" t="str">
        <f t="shared" si="116"/>
        <v/>
      </c>
    </row>
    <row r="819" spans="1:28" s="219" customFormat="1" ht="20.25">
      <c r="A819" s="174"/>
      <c r="B819" s="175" t="str">
        <f>IF(LEN(A819)=0,"",INDEX('Smelter Look-up'!$A:$A,MATCH($A819,'Smelter Look-up'!$E:$E,0)))</f>
        <v/>
      </c>
      <c r="C819" s="179" t="str">
        <f>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114"/>
        <v/>
      </c>
      <c r="T819" s="174" t="str">
        <f ca="1">IF(B819="","",IF(ISERROR(MATCH($J819,SorP!$B$1:$B$6279,0)),"",INDIRECT("'SorP'!$A$"&amp;MATCH($S819&amp;$J819,SorP!C:C,0))))</f>
        <v/>
      </c>
      <c r="U819" s="194"/>
      <c r="V819" s="218" t="e">
        <f>IF(C819="",NA(),IF(OR(C819="Smelter not listed",C819="Smelter not yet identified"),MATCH($B819&amp;$D819,'Smelter Look-up'!$J:$J,0),MATCH($B819&amp;$C819,'Smelter Look-up'!$J:$J,0)))</f>
        <v>#N/A</v>
      </c>
      <c r="X819" s="219">
        <f t="shared" ca="1" si="115"/>
        <v>0</v>
      </c>
      <c r="AB819" s="220" t="str">
        <f t="shared" si="116"/>
        <v/>
      </c>
    </row>
    <row r="820" spans="1:28" s="219" customFormat="1" ht="20.25">
      <c r="A820" s="174"/>
      <c r="B820" s="175" t="str">
        <f>IF(LEN(A820)=0,"",INDEX('Smelter Look-up'!$A:$A,MATCH($A820,'Smelter Look-up'!$E:$E,0)))</f>
        <v/>
      </c>
      <c r="C820" s="179" t="str">
        <f>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14"/>
        <v/>
      </c>
      <c r="T820" s="174" t="str">
        <f ca="1">IF(B820="","",IF(ISERROR(MATCH($J820,SorP!$B$1:$B$6279,0)),"",INDIRECT("'SorP'!$A$"&amp;MATCH($S820&amp;$J820,SorP!C:C,0))))</f>
        <v/>
      </c>
      <c r="U820" s="194"/>
      <c r="V820" s="218" t="e">
        <f>IF(C820="",NA(),IF(OR(C820="Smelter not listed",C820="Smelter not yet identified"),MATCH($B820&amp;$D820,'Smelter Look-up'!$J:$J,0),MATCH($B820&amp;$C820,'Smelter Look-up'!$J:$J,0)))</f>
        <v>#N/A</v>
      </c>
      <c r="X820" s="219">
        <f t="shared" ca="1" si="115"/>
        <v>0</v>
      </c>
      <c r="AB820" s="220" t="str">
        <f t="shared" si="116"/>
        <v/>
      </c>
    </row>
    <row r="821" spans="1:28" s="219" customFormat="1" ht="20.25">
      <c r="A821" s="174"/>
      <c r="B821" s="175" t="str">
        <f>IF(LEN(A821)=0,"",INDEX('Smelter Look-up'!$A:$A,MATCH($A821,'Smelter Look-up'!$E:$E,0)))</f>
        <v/>
      </c>
      <c r="C821" s="179" t="str">
        <f>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14"/>
        <v/>
      </c>
      <c r="T821" s="174" t="str">
        <f ca="1">IF(B821="","",IF(ISERROR(MATCH($J821,SorP!$B$1:$B$6279,0)),"",INDIRECT("'SorP'!$A$"&amp;MATCH($S821&amp;$J821,SorP!C:C,0))))</f>
        <v/>
      </c>
      <c r="U821" s="194"/>
      <c r="V821" s="218" t="e">
        <f>IF(C821="",NA(),IF(OR(C821="Smelter not listed",C821="Smelter not yet identified"),MATCH($B821&amp;$D821,'Smelter Look-up'!$J:$J,0),MATCH($B821&amp;$C821,'Smelter Look-up'!$J:$J,0)))</f>
        <v>#N/A</v>
      </c>
      <c r="X821" s="219">
        <f t="shared" ca="1" si="115"/>
        <v>0</v>
      </c>
      <c r="AB821" s="220" t="str">
        <f t="shared" si="116"/>
        <v/>
      </c>
    </row>
    <row r="822" spans="1:28" s="219" customFormat="1" ht="20.25">
      <c r="A822" s="174"/>
      <c r="B822" s="175" t="str">
        <f>IF(LEN(A822)=0,"",INDEX('Smelter Look-up'!$A:$A,MATCH($A822,'Smelter Look-up'!$E:$E,0)))</f>
        <v/>
      </c>
      <c r="C822" s="179" t="str">
        <f>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14"/>
        <v/>
      </c>
      <c r="T822" s="174" t="str">
        <f ca="1">IF(B822="","",IF(ISERROR(MATCH($J822,SorP!$B$1:$B$6279,0)),"",INDIRECT("'SorP'!$A$"&amp;MATCH($S822&amp;$J822,SorP!C:C,0))))</f>
        <v/>
      </c>
      <c r="U822" s="194"/>
      <c r="V822" s="218" t="e">
        <f>IF(C822="",NA(),IF(OR(C822="Smelter not listed",C822="Smelter not yet identified"),MATCH($B822&amp;$D822,'Smelter Look-up'!$J:$J,0),MATCH($B822&amp;$C822,'Smelter Look-up'!$J:$J,0)))</f>
        <v>#N/A</v>
      </c>
      <c r="X822" s="219">
        <f t="shared" ca="1" si="115"/>
        <v>0</v>
      </c>
      <c r="AB822" s="220" t="str">
        <f t="shared" si="116"/>
        <v/>
      </c>
    </row>
    <row r="823" spans="1:28" s="219" customFormat="1" ht="20.25">
      <c r="A823" s="174"/>
      <c r="B823" s="175" t="str">
        <f>IF(LEN(A823)=0,"",INDEX('Smelter Look-up'!$A:$A,MATCH($A823,'Smelter Look-up'!$E:$E,0)))</f>
        <v/>
      </c>
      <c r="C823" s="179" t="str">
        <f>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14"/>
        <v/>
      </c>
      <c r="T823" s="174" t="str">
        <f ca="1">IF(B823="","",IF(ISERROR(MATCH($J823,SorP!$B$1:$B$6279,0)),"",INDIRECT("'SorP'!$A$"&amp;MATCH($S823&amp;$J823,SorP!C:C,0))))</f>
        <v/>
      </c>
      <c r="U823" s="194"/>
      <c r="V823" s="218" t="e">
        <f>IF(C823="",NA(),IF(OR(C823="Smelter not listed",C823="Smelter not yet identified"),MATCH($B823&amp;$D823,'Smelter Look-up'!$J:$J,0),MATCH($B823&amp;$C823,'Smelter Look-up'!$J:$J,0)))</f>
        <v>#N/A</v>
      </c>
      <c r="X823" s="219">
        <f t="shared" ca="1" si="115"/>
        <v>0</v>
      </c>
      <c r="AB823" s="220" t="str">
        <f t="shared" si="116"/>
        <v/>
      </c>
    </row>
    <row r="824" spans="1:28" s="219" customFormat="1" ht="20.25">
      <c r="A824" s="174"/>
      <c r="B824" s="175" t="str">
        <f>IF(LEN(A824)=0,"",INDEX('Smelter Look-up'!$A:$A,MATCH($A824,'Smelter Look-up'!$E:$E,0)))</f>
        <v/>
      </c>
      <c r="C824" s="179" t="str">
        <f>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14"/>
        <v/>
      </c>
      <c r="T824" s="174" t="str">
        <f ca="1">IF(B824="","",IF(ISERROR(MATCH($J824,SorP!$B$1:$B$6279,0)),"",INDIRECT("'SorP'!$A$"&amp;MATCH($S824&amp;$J824,SorP!C:C,0))))</f>
        <v/>
      </c>
      <c r="U824" s="194"/>
      <c r="V824" s="218" t="e">
        <f>IF(C824="",NA(),IF(OR(C824="Smelter not listed",C824="Smelter not yet identified"),MATCH($B824&amp;$D824,'Smelter Look-up'!$J:$J,0),MATCH($B824&amp;$C824,'Smelter Look-up'!$J:$J,0)))</f>
        <v>#N/A</v>
      </c>
      <c r="X824" s="219">
        <f t="shared" ca="1" si="115"/>
        <v>0</v>
      </c>
      <c r="AB824" s="220" t="str">
        <f t="shared" si="116"/>
        <v/>
      </c>
    </row>
    <row r="825" spans="1:28" s="219" customFormat="1" ht="20.25">
      <c r="A825" s="174"/>
      <c r="B825" s="175" t="str">
        <f>IF(LEN(A825)=0,"",INDEX('Smelter Look-up'!$A:$A,MATCH($A825,'Smelter Look-up'!$E:$E,0)))</f>
        <v/>
      </c>
      <c r="C825" s="179" t="str">
        <f>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114"/>
        <v/>
      </c>
      <c r="T825" s="174" t="str">
        <f ca="1">IF(B825="","",IF(ISERROR(MATCH($J825,SorP!$B$1:$B$6279,0)),"",INDIRECT("'SorP'!$A$"&amp;MATCH($S825&amp;$J825,SorP!C:C,0))))</f>
        <v/>
      </c>
      <c r="U825" s="194"/>
      <c r="V825" s="218" t="e">
        <f>IF(C825="",NA(),IF(OR(C825="Smelter not listed",C825="Smelter not yet identified"),MATCH($B825&amp;$D825,'Smelter Look-up'!$J:$J,0),MATCH($B825&amp;$C825,'Smelter Look-up'!$J:$J,0)))</f>
        <v>#N/A</v>
      </c>
      <c r="X825" s="219">
        <f t="shared" ca="1" si="115"/>
        <v>0</v>
      </c>
      <c r="AB825" s="220" t="str">
        <f t="shared" si="116"/>
        <v/>
      </c>
    </row>
    <row r="826" spans="1:28" s="219" customFormat="1" ht="20.25">
      <c r="A826" s="174"/>
      <c r="B826" s="175" t="str">
        <f>IF(LEN(A826)=0,"",INDEX('Smelter Look-up'!$A:$A,MATCH($A826,'Smelter Look-up'!$E:$E,0)))</f>
        <v/>
      </c>
      <c r="C826" s="179" t="str">
        <f>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ca="1" si="114"/>
        <v/>
      </c>
      <c r="T826" s="174" t="str">
        <f ca="1">IF(B826="","",IF(ISERROR(MATCH($J826,SorP!$B$1:$B$6279,0)),"",INDIRECT("'SorP'!$A$"&amp;MATCH($S826&amp;$J826,SorP!C:C,0))))</f>
        <v/>
      </c>
      <c r="U826" s="194"/>
      <c r="V826" s="218" t="e">
        <f>IF(C826="",NA(),IF(OR(C826="Smelter not listed",C826="Smelter not yet identified"),MATCH($B826&amp;$D826,'Smelter Look-up'!$J:$J,0),MATCH($B826&amp;$C826,'Smelter Look-up'!$J:$J,0)))</f>
        <v>#N/A</v>
      </c>
      <c r="X826" s="219">
        <f t="shared" ca="1" si="115"/>
        <v>0</v>
      </c>
      <c r="AB826" s="220" t="str">
        <f t="shared" si="116"/>
        <v/>
      </c>
    </row>
    <row r="827" spans="1:28" s="219" customFormat="1" ht="20.25">
      <c r="A827" s="174"/>
      <c r="B827" s="175" t="str">
        <f>IF(LEN(A827)=0,"",INDEX('Smelter Look-up'!$A:$A,MATCH($A827,'Smelter Look-up'!$E:$E,0)))</f>
        <v/>
      </c>
      <c r="C827" s="179" t="str">
        <f>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ref="S827" ca="1" si="117">IF(B827="","",IF(ISERROR(MATCH($E827,CL,0)),"Unknown",INDIRECT("'C'!$A$"&amp;MATCH($E827,CL,0)+1)))</f>
        <v/>
      </c>
      <c r="T827" s="174" t="str">
        <f ca="1">IF(B827="","",IF(ISERROR(MATCH($J827,SorP!$B$1:$B$6279,0)),"",INDIRECT("'SorP'!$A$"&amp;MATCH($S827&amp;$J827,SorP!C:C,0))))</f>
        <v/>
      </c>
      <c r="U827" s="194"/>
      <c r="V827" s="218" t="e">
        <f>IF(C827="",NA(),IF(OR(C827="Smelter not listed",C827="Smelter not yet identified"),MATCH($B827&amp;$D827,'Smelter Look-up'!$J:$J,0),MATCH($B827&amp;$C827,'Smelter Look-up'!$J:$J,0)))</f>
        <v>#N/A</v>
      </c>
      <c r="X827" s="219">
        <f t="shared" ref="X827" ca="1" si="118">IF(AND(C827="Smelter not listed",OR(LEN(D827)=0,LEN(E827)=0)),1,0)</f>
        <v>0</v>
      </c>
      <c r="AB827" s="220" t="str">
        <f t="shared" ref="AB827" si="119">B827&amp;C827</f>
        <v/>
      </c>
    </row>
    <row r="828" spans="1:28" s="219" customFormat="1" ht="20.25">
      <c r="A828" s="174"/>
      <c r="B828" s="175" t="str">
        <f>IF(LEN(A828)=0,"",INDEX('Smelter Look-up'!$A:$A,MATCH($A828,'Smelter Look-up'!$E:$E,0)))</f>
        <v/>
      </c>
      <c r="C828" s="179" t="str">
        <f>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ref="S828:S859" ca="1" si="120">IF(B828="","",IF(ISERROR(MATCH($E828,CL,0)),"Unknown",INDIRECT("'C'!$A$"&amp;MATCH($E828,CL,0)+1)))</f>
        <v/>
      </c>
      <c r="T828" s="174" t="str">
        <f ca="1">IF(B828="","",IF(ISERROR(MATCH($J828,SorP!$B$1:$B$6279,0)),"",INDIRECT("'SorP'!$A$"&amp;MATCH($S828&amp;$J828,SorP!C:C,0))))</f>
        <v/>
      </c>
      <c r="U828" s="194"/>
      <c r="V828" s="218" t="e">
        <f>IF(C828="",NA(),IF(OR(C828="Smelter not listed",C828="Smelter not yet identified"),MATCH($B828&amp;$D828,'Smelter Look-up'!$J:$J,0),MATCH($B828&amp;$C828,'Smelter Look-up'!$J:$J,0)))</f>
        <v>#N/A</v>
      </c>
      <c r="X828" s="219">
        <f t="shared" ref="X828:X859" ca="1" si="121">IF(AND(C828="Smelter not listed",OR(LEN(D828)=0,LEN(E828)=0)),1,0)</f>
        <v>0</v>
      </c>
      <c r="AB828" s="220" t="str">
        <f t="shared" ref="AB828:AB859" si="122">B828&amp;C828</f>
        <v/>
      </c>
    </row>
    <row r="829" spans="1:28" s="219" customFormat="1" ht="20.25">
      <c r="A829" s="174"/>
      <c r="B829" s="175" t="str">
        <f>IF(LEN(A829)=0,"",INDEX('Smelter Look-up'!$A:$A,MATCH($A829,'Smelter Look-up'!$E:$E,0)))</f>
        <v/>
      </c>
      <c r="C829" s="179" t="str">
        <f>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20"/>
        <v/>
      </c>
      <c r="T829" s="174" t="str">
        <f ca="1">IF(B829="","",IF(ISERROR(MATCH($J829,SorP!$B$1:$B$6279,0)),"",INDIRECT("'SorP'!$A$"&amp;MATCH($S829&amp;$J829,SorP!C:C,0))))</f>
        <v/>
      </c>
      <c r="U829" s="194"/>
      <c r="V829" s="218" t="e">
        <f>IF(C829="",NA(),IF(OR(C829="Smelter not listed",C829="Smelter not yet identified"),MATCH($B829&amp;$D829,'Smelter Look-up'!$J:$J,0),MATCH($B829&amp;$C829,'Smelter Look-up'!$J:$J,0)))</f>
        <v>#N/A</v>
      </c>
      <c r="X829" s="219">
        <f t="shared" ca="1" si="121"/>
        <v>0</v>
      </c>
      <c r="AB829" s="220" t="str">
        <f t="shared" si="122"/>
        <v/>
      </c>
    </row>
    <row r="830" spans="1:28" s="219" customFormat="1" ht="20.25">
      <c r="A830" s="174"/>
      <c r="B830" s="175" t="str">
        <f>IF(LEN(A830)=0,"",INDEX('Smelter Look-up'!$A:$A,MATCH($A830,'Smelter Look-up'!$E:$E,0)))</f>
        <v/>
      </c>
      <c r="C830" s="179" t="str">
        <f>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20"/>
        <v/>
      </c>
      <c r="T830" s="174" t="str">
        <f ca="1">IF(B830="","",IF(ISERROR(MATCH($J830,SorP!$B$1:$B$6279,0)),"",INDIRECT("'SorP'!$A$"&amp;MATCH($S830&amp;$J830,SorP!C:C,0))))</f>
        <v/>
      </c>
      <c r="U830" s="194"/>
      <c r="V830" s="218" t="e">
        <f>IF(C830="",NA(),IF(OR(C830="Smelter not listed",C830="Smelter not yet identified"),MATCH($B830&amp;$D830,'Smelter Look-up'!$J:$J,0),MATCH($B830&amp;$C830,'Smelter Look-up'!$J:$J,0)))</f>
        <v>#N/A</v>
      </c>
      <c r="X830" s="219">
        <f t="shared" ca="1" si="121"/>
        <v>0</v>
      </c>
      <c r="AB830" s="220" t="str">
        <f t="shared" si="122"/>
        <v/>
      </c>
    </row>
    <row r="831" spans="1:28" s="219" customFormat="1" ht="20.25">
      <c r="A831" s="174"/>
      <c r="B831" s="175" t="str">
        <f>IF(LEN(A831)=0,"",INDEX('Smelter Look-up'!$A:$A,MATCH($A831,'Smelter Look-up'!$E:$E,0)))</f>
        <v/>
      </c>
      <c r="C831" s="179" t="str">
        <f>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20"/>
        <v/>
      </c>
      <c r="T831" s="174" t="str">
        <f ca="1">IF(B831="","",IF(ISERROR(MATCH($J831,SorP!$B$1:$B$6279,0)),"",INDIRECT("'SorP'!$A$"&amp;MATCH($S831&amp;$J831,SorP!C:C,0))))</f>
        <v/>
      </c>
      <c r="U831" s="194"/>
      <c r="V831" s="218" t="e">
        <f>IF(C831="",NA(),IF(OR(C831="Smelter not listed",C831="Smelter not yet identified"),MATCH($B831&amp;$D831,'Smelter Look-up'!$J:$J,0),MATCH($B831&amp;$C831,'Smelter Look-up'!$J:$J,0)))</f>
        <v>#N/A</v>
      </c>
      <c r="X831" s="219">
        <f t="shared" ca="1" si="121"/>
        <v>0</v>
      </c>
      <c r="AB831" s="220" t="str">
        <f t="shared" si="122"/>
        <v/>
      </c>
    </row>
    <row r="832" spans="1:28" s="219" customFormat="1" ht="20.25">
      <c r="A832" s="174"/>
      <c r="B832" s="175" t="str">
        <f>IF(LEN(A832)=0,"",INDEX('Smelter Look-up'!$A:$A,MATCH($A832,'Smelter Look-up'!$E:$E,0)))</f>
        <v/>
      </c>
      <c r="C832" s="179" t="str">
        <f>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20"/>
        <v/>
      </c>
      <c r="T832" s="174" t="str">
        <f ca="1">IF(B832="","",IF(ISERROR(MATCH($J832,SorP!$B$1:$B$6279,0)),"",INDIRECT("'SorP'!$A$"&amp;MATCH($S832&amp;$J832,SorP!C:C,0))))</f>
        <v/>
      </c>
      <c r="U832" s="194"/>
      <c r="V832" s="218" t="e">
        <f>IF(C832="",NA(),IF(OR(C832="Smelter not listed",C832="Smelter not yet identified"),MATCH($B832&amp;$D832,'Smelter Look-up'!$J:$J,0),MATCH($B832&amp;$C832,'Smelter Look-up'!$J:$J,0)))</f>
        <v>#N/A</v>
      </c>
      <c r="X832" s="219">
        <f t="shared" ca="1" si="121"/>
        <v>0</v>
      </c>
      <c r="AB832" s="220" t="str">
        <f t="shared" si="122"/>
        <v/>
      </c>
    </row>
    <row r="833" spans="1:28" s="219" customFormat="1" ht="20.25">
      <c r="A833" s="174"/>
      <c r="B833" s="175" t="str">
        <f>IF(LEN(A833)=0,"",INDEX('Smelter Look-up'!$A:$A,MATCH($A833,'Smelter Look-up'!$E:$E,0)))</f>
        <v/>
      </c>
      <c r="C833" s="179" t="str">
        <f>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20"/>
        <v/>
      </c>
      <c r="T833" s="174" t="str">
        <f ca="1">IF(B833="","",IF(ISERROR(MATCH($J833,SorP!$B$1:$B$6279,0)),"",INDIRECT("'SorP'!$A$"&amp;MATCH($S833&amp;$J833,SorP!C:C,0))))</f>
        <v/>
      </c>
      <c r="U833" s="194"/>
      <c r="V833" s="218" t="e">
        <f>IF(C833="",NA(),IF(OR(C833="Smelter not listed",C833="Smelter not yet identified"),MATCH($B833&amp;$D833,'Smelter Look-up'!$J:$J,0),MATCH($B833&amp;$C833,'Smelter Look-up'!$J:$J,0)))</f>
        <v>#N/A</v>
      </c>
      <c r="X833" s="219">
        <f t="shared" ca="1" si="121"/>
        <v>0</v>
      </c>
      <c r="AB833" s="220" t="str">
        <f t="shared" si="122"/>
        <v/>
      </c>
    </row>
    <row r="834" spans="1:28" s="219" customFormat="1" ht="20.25">
      <c r="A834" s="174"/>
      <c r="B834" s="175" t="str">
        <f>IF(LEN(A834)=0,"",INDEX('Smelter Look-up'!$A:$A,MATCH($A834,'Smelter Look-up'!$E:$E,0)))</f>
        <v/>
      </c>
      <c r="C834" s="179" t="str">
        <f>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20"/>
        <v/>
      </c>
      <c r="T834" s="174" t="str">
        <f ca="1">IF(B834="","",IF(ISERROR(MATCH($J834,SorP!$B$1:$B$6279,0)),"",INDIRECT("'SorP'!$A$"&amp;MATCH($S834&amp;$J834,SorP!C:C,0))))</f>
        <v/>
      </c>
      <c r="U834" s="194"/>
      <c r="V834" s="218" t="e">
        <f>IF(C834="",NA(),IF(OR(C834="Smelter not listed",C834="Smelter not yet identified"),MATCH($B834&amp;$D834,'Smelter Look-up'!$J:$J,0),MATCH($B834&amp;$C834,'Smelter Look-up'!$J:$J,0)))</f>
        <v>#N/A</v>
      </c>
      <c r="X834" s="219">
        <f t="shared" ca="1" si="121"/>
        <v>0</v>
      </c>
      <c r="AB834" s="220" t="str">
        <f t="shared" si="122"/>
        <v/>
      </c>
    </row>
    <row r="835" spans="1:28" s="219" customFormat="1" ht="20.25">
      <c r="A835" s="174"/>
      <c r="B835" s="175" t="str">
        <f>IF(LEN(A835)=0,"",INDEX('Smelter Look-up'!$A:$A,MATCH($A835,'Smelter Look-up'!$E:$E,0)))</f>
        <v/>
      </c>
      <c r="C835" s="179" t="str">
        <f>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20"/>
        <v/>
      </c>
      <c r="T835" s="174" t="str">
        <f ca="1">IF(B835="","",IF(ISERROR(MATCH($J835,SorP!$B$1:$B$6279,0)),"",INDIRECT("'SorP'!$A$"&amp;MATCH($S835&amp;$J835,SorP!C:C,0))))</f>
        <v/>
      </c>
      <c r="U835" s="194"/>
      <c r="V835" s="218" t="e">
        <f>IF(C835="",NA(),IF(OR(C835="Smelter not listed",C835="Smelter not yet identified"),MATCH($B835&amp;$D835,'Smelter Look-up'!$J:$J,0),MATCH($B835&amp;$C835,'Smelter Look-up'!$J:$J,0)))</f>
        <v>#N/A</v>
      </c>
      <c r="X835" s="219">
        <f t="shared" ca="1" si="121"/>
        <v>0</v>
      </c>
      <c r="AB835" s="220" t="str">
        <f t="shared" si="122"/>
        <v/>
      </c>
    </row>
    <row r="836" spans="1:28" s="219" customFormat="1" ht="20.25">
      <c r="A836" s="174"/>
      <c r="B836" s="175" t="str">
        <f>IF(LEN(A836)=0,"",INDEX('Smelter Look-up'!$A:$A,MATCH($A836,'Smelter Look-up'!$E:$E,0)))</f>
        <v/>
      </c>
      <c r="C836" s="179" t="str">
        <f>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20"/>
        <v/>
      </c>
      <c r="T836" s="174" t="str">
        <f ca="1">IF(B836="","",IF(ISERROR(MATCH($J836,SorP!$B$1:$B$6279,0)),"",INDIRECT("'SorP'!$A$"&amp;MATCH($S836&amp;$J836,SorP!C:C,0))))</f>
        <v/>
      </c>
      <c r="U836" s="194"/>
      <c r="V836" s="218" t="e">
        <f>IF(C836="",NA(),IF(OR(C836="Smelter not listed",C836="Smelter not yet identified"),MATCH($B836&amp;$D836,'Smelter Look-up'!$J:$J,0),MATCH($B836&amp;$C836,'Smelter Look-up'!$J:$J,0)))</f>
        <v>#N/A</v>
      </c>
      <c r="X836" s="219">
        <f t="shared" ca="1" si="121"/>
        <v>0</v>
      </c>
      <c r="AB836" s="220" t="str">
        <f t="shared" si="122"/>
        <v/>
      </c>
    </row>
    <row r="837" spans="1:28" s="219" customFormat="1" ht="20.25">
      <c r="A837" s="174"/>
      <c r="B837" s="175" t="str">
        <f>IF(LEN(A837)=0,"",INDEX('Smelter Look-up'!$A:$A,MATCH($A837,'Smelter Look-up'!$E:$E,0)))</f>
        <v/>
      </c>
      <c r="C837" s="179" t="str">
        <f>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20"/>
        <v/>
      </c>
      <c r="T837" s="174" t="str">
        <f ca="1">IF(B837="","",IF(ISERROR(MATCH($J837,SorP!$B$1:$B$6279,0)),"",INDIRECT("'SorP'!$A$"&amp;MATCH($S837&amp;$J837,SorP!C:C,0))))</f>
        <v/>
      </c>
      <c r="U837" s="194"/>
      <c r="V837" s="218" t="e">
        <f>IF(C837="",NA(),IF(OR(C837="Smelter not listed",C837="Smelter not yet identified"),MATCH($B837&amp;$D837,'Smelter Look-up'!$J:$J,0),MATCH($B837&amp;$C837,'Smelter Look-up'!$J:$J,0)))</f>
        <v>#N/A</v>
      </c>
      <c r="X837" s="219">
        <f t="shared" ca="1" si="121"/>
        <v>0</v>
      </c>
      <c r="AB837" s="220" t="str">
        <f t="shared" si="122"/>
        <v/>
      </c>
    </row>
    <row r="838" spans="1:28" s="219" customFormat="1" ht="20.25">
      <c r="A838" s="174"/>
      <c r="B838" s="175" t="str">
        <f>IF(LEN(A838)=0,"",INDEX('Smelter Look-up'!$A:$A,MATCH($A838,'Smelter Look-up'!$E:$E,0)))</f>
        <v/>
      </c>
      <c r="C838" s="179" t="str">
        <f>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20"/>
        <v/>
      </c>
      <c r="T838" s="174" t="str">
        <f ca="1">IF(B838="","",IF(ISERROR(MATCH($J838,SorP!$B$1:$B$6279,0)),"",INDIRECT("'SorP'!$A$"&amp;MATCH($S838&amp;$J838,SorP!C:C,0))))</f>
        <v/>
      </c>
      <c r="U838" s="194"/>
      <c r="V838" s="218" t="e">
        <f>IF(C838="",NA(),IF(OR(C838="Smelter not listed",C838="Smelter not yet identified"),MATCH($B838&amp;$D838,'Smelter Look-up'!$J:$J,0),MATCH($B838&amp;$C838,'Smelter Look-up'!$J:$J,0)))</f>
        <v>#N/A</v>
      </c>
      <c r="X838" s="219">
        <f t="shared" ca="1" si="121"/>
        <v>0</v>
      </c>
      <c r="AB838" s="220" t="str">
        <f t="shared" si="122"/>
        <v/>
      </c>
    </row>
    <row r="839" spans="1:28" s="219" customFormat="1" ht="20.25">
      <c r="A839" s="174"/>
      <c r="B839" s="175" t="str">
        <f>IF(LEN(A839)=0,"",INDEX('Smelter Look-up'!$A:$A,MATCH($A839,'Smelter Look-up'!$E:$E,0)))</f>
        <v/>
      </c>
      <c r="C839" s="179" t="str">
        <f>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20"/>
        <v/>
      </c>
      <c r="T839" s="174" t="str">
        <f ca="1">IF(B839="","",IF(ISERROR(MATCH($J839,SorP!$B$1:$B$6279,0)),"",INDIRECT("'SorP'!$A$"&amp;MATCH($S839&amp;$J839,SorP!C:C,0))))</f>
        <v/>
      </c>
      <c r="U839" s="194"/>
      <c r="V839" s="218" t="e">
        <f>IF(C839="",NA(),IF(OR(C839="Smelter not listed",C839="Smelter not yet identified"),MATCH($B839&amp;$D839,'Smelter Look-up'!$J:$J,0),MATCH($B839&amp;$C839,'Smelter Look-up'!$J:$J,0)))</f>
        <v>#N/A</v>
      </c>
      <c r="X839" s="219">
        <f t="shared" ca="1" si="121"/>
        <v>0</v>
      </c>
      <c r="AB839" s="220" t="str">
        <f t="shared" si="122"/>
        <v/>
      </c>
    </row>
    <row r="840" spans="1:28" s="219" customFormat="1" ht="20.25">
      <c r="A840" s="174"/>
      <c r="B840" s="175" t="str">
        <f>IF(LEN(A840)=0,"",INDEX('Smelter Look-up'!$A:$A,MATCH($A840,'Smelter Look-up'!$E:$E,0)))</f>
        <v/>
      </c>
      <c r="C840" s="179" t="str">
        <f>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20"/>
        <v/>
      </c>
      <c r="T840" s="174" t="str">
        <f ca="1">IF(B840="","",IF(ISERROR(MATCH($J840,SorP!$B$1:$B$6279,0)),"",INDIRECT("'SorP'!$A$"&amp;MATCH($S840&amp;$J840,SorP!C:C,0))))</f>
        <v/>
      </c>
      <c r="U840" s="194"/>
      <c r="V840" s="218" t="e">
        <f>IF(C840="",NA(),IF(OR(C840="Smelter not listed",C840="Smelter not yet identified"),MATCH($B840&amp;$D840,'Smelter Look-up'!$J:$J,0),MATCH($B840&amp;$C840,'Smelter Look-up'!$J:$J,0)))</f>
        <v>#N/A</v>
      </c>
      <c r="X840" s="219">
        <f t="shared" ca="1" si="121"/>
        <v>0</v>
      </c>
      <c r="AB840" s="220" t="str">
        <f t="shared" si="122"/>
        <v/>
      </c>
    </row>
    <row r="841" spans="1:28" s="219" customFormat="1" ht="20.25">
      <c r="A841" s="174"/>
      <c r="B841" s="175" t="str">
        <f>IF(LEN(A841)=0,"",INDEX('Smelter Look-up'!$A:$A,MATCH($A841,'Smelter Look-up'!$E:$E,0)))</f>
        <v/>
      </c>
      <c r="C841" s="179" t="str">
        <f>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20"/>
        <v/>
      </c>
      <c r="T841" s="174" t="str">
        <f ca="1">IF(B841="","",IF(ISERROR(MATCH($J841,SorP!$B$1:$B$6279,0)),"",INDIRECT("'SorP'!$A$"&amp;MATCH($S841&amp;$J841,SorP!C:C,0))))</f>
        <v/>
      </c>
      <c r="U841" s="194"/>
      <c r="V841" s="218" t="e">
        <f>IF(C841="",NA(),IF(OR(C841="Smelter not listed",C841="Smelter not yet identified"),MATCH($B841&amp;$D841,'Smelter Look-up'!$J:$J,0),MATCH($B841&amp;$C841,'Smelter Look-up'!$J:$J,0)))</f>
        <v>#N/A</v>
      </c>
      <c r="X841" s="219">
        <f t="shared" ca="1" si="121"/>
        <v>0</v>
      </c>
      <c r="AB841" s="220" t="str">
        <f t="shared" si="122"/>
        <v/>
      </c>
    </row>
    <row r="842" spans="1:28" s="219" customFormat="1" ht="20.25">
      <c r="A842" s="174"/>
      <c r="B842" s="175" t="str">
        <f>IF(LEN(A842)=0,"",INDEX('Smelter Look-up'!$A:$A,MATCH($A842,'Smelter Look-up'!$E:$E,0)))</f>
        <v/>
      </c>
      <c r="C842" s="179" t="str">
        <f>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20"/>
        <v/>
      </c>
      <c r="T842" s="174" t="str">
        <f ca="1">IF(B842="","",IF(ISERROR(MATCH($J842,SorP!$B$1:$B$6279,0)),"",INDIRECT("'SorP'!$A$"&amp;MATCH($S842&amp;$J842,SorP!C:C,0))))</f>
        <v/>
      </c>
      <c r="U842" s="194"/>
      <c r="V842" s="218" t="e">
        <f>IF(C842="",NA(),IF(OR(C842="Smelter not listed",C842="Smelter not yet identified"),MATCH($B842&amp;$D842,'Smelter Look-up'!$J:$J,0),MATCH($B842&amp;$C842,'Smelter Look-up'!$J:$J,0)))</f>
        <v>#N/A</v>
      </c>
      <c r="X842" s="219">
        <f t="shared" ca="1" si="121"/>
        <v>0</v>
      </c>
      <c r="AB842" s="220" t="str">
        <f t="shared" si="122"/>
        <v/>
      </c>
    </row>
    <row r="843" spans="1:28" s="219" customFormat="1" ht="20.25">
      <c r="A843" s="174"/>
      <c r="B843" s="175" t="str">
        <f>IF(LEN(A843)=0,"",INDEX('Smelter Look-up'!$A:$A,MATCH($A843,'Smelter Look-up'!$E:$E,0)))</f>
        <v/>
      </c>
      <c r="C843" s="179" t="str">
        <f>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20"/>
        <v/>
      </c>
      <c r="T843" s="174" t="str">
        <f ca="1">IF(B843="","",IF(ISERROR(MATCH($J843,SorP!$B$1:$B$6279,0)),"",INDIRECT("'SorP'!$A$"&amp;MATCH($S843&amp;$J843,SorP!C:C,0))))</f>
        <v/>
      </c>
      <c r="U843" s="194"/>
      <c r="V843" s="218" t="e">
        <f>IF(C843="",NA(),IF(OR(C843="Smelter not listed",C843="Smelter not yet identified"),MATCH($B843&amp;$D843,'Smelter Look-up'!$J:$J,0),MATCH($B843&amp;$C843,'Smelter Look-up'!$J:$J,0)))</f>
        <v>#N/A</v>
      </c>
      <c r="X843" s="219">
        <f t="shared" ca="1" si="121"/>
        <v>0</v>
      </c>
      <c r="AB843" s="220" t="str">
        <f t="shared" si="122"/>
        <v/>
      </c>
    </row>
    <row r="844" spans="1:28" s="219" customFormat="1" ht="20.25">
      <c r="A844" s="174"/>
      <c r="B844" s="175" t="str">
        <f>IF(LEN(A844)=0,"",INDEX('Smelter Look-up'!$A:$A,MATCH($A844,'Smelter Look-up'!$E:$E,0)))</f>
        <v/>
      </c>
      <c r="C844" s="179" t="str">
        <f>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20"/>
        <v/>
      </c>
      <c r="T844" s="174" t="str">
        <f ca="1">IF(B844="","",IF(ISERROR(MATCH($J844,SorP!$B$1:$B$6279,0)),"",INDIRECT("'SorP'!$A$"&amp;MATCH($S844&amp;$J844,SorP!C:C,0))))</f>
        <v/>
      </c>
      <c r="U844" s="194"/>
      <c r="V844" s="218" t="e">
        <f>IF(C844="",NA(),IF(OR(C844="Smelter not listed",C844="Smelter not yet identified"),MATCH($B844&amp;$D844,'Smelter Look-up'!$J:$J,0),MATCH($B844&amp;$C844,'Smelter Look-up'!$J:$J,0)))</f>
        <v>#N/A</v>
      </c>
      <c r="X844" s="219">
        <f t="shared" ca="1" si="121"/>
        <v>0</v>
      </c>
      <c r="AB844" s="220" t="str">
        <f t="shared" si="122"/>
        <v/>
      </c>
    </row>
    <row r="845" spans="1:28" s="219" customFormat="1" ht="20.25">
      <c r="A845" s="174"/>
      <c r="B845" s="175" t="str">
        <f>IF(LEN(A845)=0,"",INDEX('Smelter Look-up'!$A:$A,MATCH($A845,'Smelter Look-up'!$E:$E,0)))</f>
        <v/>
      </c>
      <c r="C845" s="179" t="str">
        <f>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20"/>
        <v/>
      </c>
      <c r="T845" s="174" t="str">
        <f ca="1">IF(B845="","",IF(ISERROR(MATCH($J845,SorP!$B$1:$B$6279,0)),"",INDIRECT("'SorP'!$A$"&amp;MATCH($S845&amp;$J845,SorP!C:C,0))))</f>
        <v/>
      </c>
      <c r="U845" s="194"/>
      <c r="V845" s="218" t="e">
        <f>IF(C845="",NA(),IF(OR(C845="Smelter not listed",C845="Smelter not yet identified"),MATCH($B845&amp;$D845,'Smelter Look-up'!$J:$J,0),MATCH($B845&amp;$C845,'Smelter Look-up'!$J:$J,0)))</f>
        <v>#N/A</v>
      </c>
      <c r="X845" s="219">
        <f t="shared" ca="1" si="121"/>
        <v>0</v>
      </c>
      <c r="AB845" s="220" t="str">
        <f t="shared" si="122"/>
        <v/>
      </c>
    </row>
    <row r="846" spans="1:28" s="219" customFormat="1" ht="20.25">
      <c r="A846" s="174"/>
      <c r="B846" s="175" t="str">
        <f>IF(LEN(A846)=0,"",INDEX('Smelter Look-up'!$A:$A,MATCH($A846,'Smelter Look-up'!$E:$E,0)))</f>
        <v/>
      </c>
      <c r="C846" s="179" t="str">
        <f>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20"/>
        <v/>
      </c>
      <c r="T846" s="174" t="str">
        <f ca="1">IF(B846="","",IF(ISERROR(MATCH($J846,SorP!$B$1:$B$6279,0)),"",INDIRECT("'SorP'!$A$"&amp;MATCH($S846&amp;$J846,SorP!C:C,0))))</f>
        <v/>
      </c>
      <c r="U846" s="194"/>
      <c r="V846" s="218" t="e">
        <f>IF(C846="",NA(),IF(OR(C846="Smelter not listed",C846="Smelter not yet identified"),MATCH($B846&amp;$D846,'Smelter Look-up'!$J:$J,0),MATCH($B846&amp;$C846,'Smelter Look-up'!$J:$J,0)))</f>
        <v>#N/A</v>
      </c>
      <c r="X846" s="219">
        <f t="shared" ca="1" si="121"/>
        <v>0</v>
      </c>
      <c r="AB846" s="220" t="str">
        <f t="shared" si="122"/>
        <v/>
      </c>
    </row>
    <row r="847" spans="1:28" s="219" customFormat="1" ht="20.25">
      <c r="A847" s="174"/>
      <c r="B847" s="175" t="str">
        <f>IF(LEN(A847)=0,"",INDEX('Smelter Look-up'!$A:$A,MATCH($A847,'Smelter Look-up'!$E:$E,0)))</f>
        <v/>
      </c>
      <c r="C847" s="179" t="str">
        <f>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20"/>
        <v/>
      </c>
      <c r="T847" s="174" t="str">
        <f ca="1">IF(B847="","",IF(ISERROR(MATCH($J847,SorP!$B$1:$B$6279,0)),"",INDIRECT("'SorP'!$A$"&amp;MATCH($S847&amp;$J847,SorP!C:C,0))))</f>
        <v/>
      </c>
      <c r="U847" s="194"/>
      <c r="V847" s="218" t="e">
        <f>IF(C847="",NA(),IF(OR(C847="Smelter not listed",C847="Smelter not yet identified"),MATCH($B847&amp;$D847,'Smelter Look-up'!$J:$J,0),MATCH($B847&amp;$C847,'Smelter Look-up'!$J:$J,0)))</f>
        <v>#N/A</v>
      </c>
      <c r="X847" s="219">
        <f t="shared" ca="1" si="121"/>
        <v>0</v>
      </c>
      <c r="AB847" s="220" t="str">
        <f t="shared" si="122"/>
        <v/>
      </c>
    </row>
    <row r="848" spans="1:28" s="219" customFormat="1" ht="20.25">
      <c r="A848" s="174"/>
      <c r="B848" s="175" t="str">
        <f>IF(LEN(A848)=0,"",INDEX('Smelter Look-up'!$A:$A,MATCH($A848,'Smelter Look-up'!$E:$E,0)))</f>
        <v/>
      </c>
      <c r="C848" s="179" t="str">
        <f>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20"/>
        <v/>
      </c>
      <c r="T848" s="174" t="str">
        <f ca="1">IF(B848="","",IF(ISERROR(MATCH($J848,SorP!$B$1:$B$6279,0)),"",INDIRECT("'SorP'!$A$"&amp;MATCH($S848&amp;$J848,SorP!C:C,0))))</f>
        <v/>
      </c>
      <c r="U848" s="194"/>
      <c r="V848" s="218" t="e">
        <f>IF(C848="",NA(),IF(OR(C848="Smelter not listed",C848="Smelter not yet identified"),MATCH($B848&amp;$D848,'Smelter Look-up'!$J:$J,0),MATCH($B848&amp;$C848,'Smelter Look-up'!$J:$J,0)))</f>
        <v>#N/A</v>
      </c>
      <c r="X848" s="219">
        <f t="shared" ca="1" si="121"/>
        <v>0</v>
      </c>
      <c r="AB848" s="220" t="str">
        <f t="shared" si="122"/>
        <v/>
      </c>
    </row>
    <row r="849" spans="1:28" s="219" customFormat="1" ht="20.25">
      <c r="A849" s="174"/>
      <c r="B849" s="175" t="str">
        <f>IF(LEN(A849)=0,"",INDEX('Smelter Look-up'!$A:$A,MATCH($A849,'Smelter Look-up'!$E:$E,0)))</f>
        <v/>
      </c>
      <c r="C849" s="179" t="str">
        <f>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20"/>
        <v/>
      </c>
      <c r="T849" s="174" t="str">
        <f ca="1">IF(B849="","",IF(ISERROR(MATCH($J849,SorP!$B$1:$B$6279,0)),"",INDIRECT("'SorP'!$A$"&amp;MATCH($S849&amp;$J849,SorP!C:C,0))))</f>
        <v/>
      </c>
      <c r="U849" s="194"/>
      <c r="V849" s="218" t="e">
        <f>IF(C849="",NA(),IF(OR(C849="Smelter not listed",C849="Smelter not yet identified"),MATCH($B849&amp;$D849,'Smelter Look-up'!$J:$J,0),MATCH($B849&amp;$C849,'Smelter Look-up'!$J:$J,0)))</f>
        <v>#N/A</v>
      </c>
      <c r="X849" s="219">
        <f t="shared" ca="1" si="121"/>
        <v>0</v>
      </c>
      <c r="AB849" s="220" t="str">
        <f t="shared" si="122"/>
        <v/>
      </c>
    </row>
    <row r="850" spans="1:28" s="219" customFormat="1" ht="20.25">
      <c r="A850" s="174"/>
      <c r="B850" s="175" t="str">
        <f>IF(LEN(A850)=0,"",INDEX('Smelter Look-up'!$A:$A,MATCH($A850,'Smelter Look-up'!$E:$E,0)))</f>
        <v/>
      </c>
      <c r="C850" s="179" t="str">
        <f>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120"/>
        <v/>
      </c>
      <c r="T850" s="174" t="str">
        <f ca="1">IF(B850="","",IF(ISERROR(MATCH($J850,SorP!$B$1:$B$6279,0)),"",INDIRECT("'SorP'!$A$"&amp;MATCH($S850&amp;$J850,SorP!C:C,0))))</f>
        <v/>
      </c>
      <c r="U850" s="194"/>
      <c r="V850" s="218" t="e">
        <f>IF(C850="",NA(),IF(OR(C850="Smelter not listed",C850="Smelter not yet identified"),MATCH($B850&amp;$D850,'Smelter Look-up'!$J:$J,0),MATCH($B850&amp;$C850,'Smelter Look-up'!$J:$J,0)))</f>
        <v>#N/A</v>
      </c>
      <c r="X850" s="219">
        <f t="shared" ca="1" si="121"/>
        <v>0</v>
      </c>
      <c r="AB850" s="220" t="str">
        <f t="shared" si="122"/>
        <v/>
      </c>
    </row>
    <row r="851" spans="1:28" s="219" customFormat="1" ht="20.25">
      <c r="A851" s="174"/>
      <c r="B851" s="175" t="str">
        <f>IF(LEN(A851)=0,"",INDEX('Smelter Look-up'!$A:$A,MATCH($A851,'Smelter Look-up'!$E:$E,0)))</f>
        <v/>
      </c>
      <c r="C851" s="179" t="str">
        <f>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120"/>
        <v/>
      </c>
      <c r="T851" s="174" t="str">
        <f ca="1">IF(B851="","",IF(ISERROR(MATCH($J851,SorP!$B$1:$B$6279,0)),"",INDIRECT("'SorP'!$A$"&amp;MATCH($S851&amp;$J851,SorP!C:C,0))))</f>
        <v/>
      </c>
      <c r="U851" s="194"/>
      <c r="V851" s="218" t="e">
        <f>IF(C851="",NA(),IF(OR(C851="Smelter not listed",C851="Smelter not yet identified"),MATCH($B851&amp;$D851,'Smelter Look-up'!$J:$J,0),MATCH($B851&amp;$C851,'Smelter Look-up'!$J:$J,0)))</f>
        <v>#N/A</v>
      </c>
      <c r="X851" s="219">
        <f t="shared" ca="1" si="121"/>
        <v>0</v>
      </c>
      <c r="AB851" s="220" t="str">
        <f t="shared" si="122"/>
        <v/>
      </c>
    </row>
    <row r="852" spans="1:28" s="219" customFormat="1" ht="20.25">
      <c r="A852" s="174"/>
      <c r="B852" s="175" t="str">
        <f>IF(LEN(A852)=0,"",INDEX('Smelter Look-up'!$A:$A,MATCH($A852,'Smelter Look-up'!$E:$E,0)))</f>
        <v/>
      </c>
      <c r="C852" s="179" t="str">
        <f>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20"/>
        <v/>
      </c>
      <c r="T852" s="174" t="str">
        <f ca="1">IF(B852="","",IF(ISERROR(MATCH($J852,SorP!$B$1:$B$6279,0)),"",INDIRECT("'SorP'!$A$"&amp;MATCH($S852&amp;$J852,SorP!C:C,0))))</f>
        <v/>
      </c>
      <c r="U852" s="194"/>
      <c r="V852" s="218" t="e">
        <f>IF(C852="",NA(),IF(OR(C852="Smelter not listed",C852="Smelter not yet identified"),MATCH($B852&amp;$D852,'Smelter Look-up'!$J:$J,0),MATCH($B852&amp;$C852,'Smelter Look-up'!$J:$J,0)))</f>
        <v>#N/A</v>
      </c>
      <c r="X852" s="219">
        <f t="shared" ca="1" si="121"/>
        <v>0</v>
      </c>
      <c r="AB852" s="220" t="str">
        <f t="shared" si="122"/>
        <v/>
      </c>
    </row>
    <row r="853" spans="1:28" s="219" customFormat="1" ht="20.25">
      <c r="A853" s="174"/>
      <c r="B853" s="175" t="str">
        <f>IF(LEN(A853)=0,"",INDEX('Smelter Look-up'!$A:$A,MATCH($A853,'Smelter Look-up'!$E:$E,0)))</f>
        <v/>
      </c>
      <c r="C853" s="179" t="str">
        <f>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20"/>
        <v/>
      </c>
      <c r="T853" s="174" t="str">
        <f ca="1">IF(B853="","",IF(ISERROR(MATCH($J853,SorP!$B$1:$B$6279,0)),"",INDIRECT("'SorP'!$A$"&amp;MATCH($S853&amp;$J853,SorP!C:C,0))))</f>
        <v/>
      </c>
      <c r="U853" s="194"/>
      <c r="V853" s="218" t="e">
        <f>IF(C853="",NA(),IF(OR(C853="Smelter not listed",C853="Smelter not yet identified"),MATCH($B853&amp;$D853,'Smelter Look-up'!$J:$J,0),MATCH($B853&amp;$C853,'Smelter Look-up'!$J:$J,0)))</f>
        <v>#N/A</v>
      </c>
      <c r="X853" s="219">
        <f t="shared" ca="1" si="121"/>
        <v>0</v>
      </c>
      <c r="AB853" s="220" t="str">
        <f t="shared" si="122"/>
        <v/>
      </c>
    </row>
    <row r="854" spans="1:28" s="219" customFormat="1" ht="20.25">
      <c r="A854" s="174"/>
      <c r="B854" s="175" t="str">
        <f>IF(LEN(A854)=0,"",INDEX('Smelter Look-up'!$A:$A,MATCH($A854,'Smelter Look-up'!$E:$E,0)))</f>
        <v/>
      </c>
      <c r="C854" s="179" t="str">
        <f>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20"/>
        <v/>
      </c>
      <c r="T854" s="174" t="str">
        <f ca="1">IF(B854="","",IF(ISERROR(MATCH($J854,SorP!$B$1:$B$6279,0)),"",INDIRECT("'SorP'!$A$"&amp;MATCH($S854&amp;$J854,SorP!C:C,0))))</f>
        <v/>
      </c>
      <c r="U854" s="194"/>
      <c r="V854" s="218" t="e">
        <f>IF(C854="",NA(),IF(OR(C854="Smelter not listed",C854="Smelter not yet identified"),MATCH($B854&amp;$D854,'Smelter Look-up'!$J:$J,0),MATCH($B854&amp;$C854,'Smelter Look-up'!$J:$J,0)))</f>
        <v>#N/A</v>
      </c>
      <c r="X854" s="219">
        <f t="shared" ca="1" si="121"/>
        <v>0</v>
      </c>
      <c r="AB854" s="220" t="str">
        <f t="shared" si="122"/>
        <v/>
      </c>
    </row>
    <row r="855" spans="1:28" s="219" customFormat="1" ht="20.25">
      <c r="A855" s="174"/>
      <c r="B855" s="175" t="str">
        <f>IF(LEN(A855)=0,"",INDEX('Smelter Look-up'!$A:$A,MATCH($A855,'Smelter Look-up'!$E:$E,0)))</f>
        <v/>
      </c>
      <c r="C855" s="179" t="str">
        <f>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20"/>
        <v/>
      </c>
      <c r="T855" s="174" t="str">
        <f ca="1">IF(B855="","",IF(ISERROR(MATCH($J855,SorP!$B$1:$B$6279,0)),"",INDIRECT("'SorP'!$A$"&amp;MATCH($S855&amp;$J855,SorP!C:C,0))))</f>
        <v/>
      </c>
      <c r="U855" s="194"/>
      <c r="V855" s="218" t="e">
        <f>IF(C855="",NA(),IF(OR(C855="Smelter not listed",C855="Smelter not yet identified"),MATCH($B855&amp;$D855,'Smelter Look-up'!$J:$J,0),MATCH($B855&amp;$C855,'Smelter Look-up'!$J:$J,0)))</f>
        <v>#N/A</v>
      </c>
      <c r="X855" s="219">
        <f t="shared" ca="1" si="121"/>
        <v>0</v>
      </c>
      <c r="AB855" s="220" t="str">
        <f t="shared" si="122"/>
        <v/>
      </c>
    </row>
    <row r="856" spans="1:28" s="219" customFormat="1" ht="20.25">
      <c r="A856" s="174"/>
      <c r="B856" s="175" t="str">
        <f>IF(LEN(A856)=0,"",INDEX('Smelter Look-up'!$A:$A,MATCH($A856,'Smelter Look-up'!$E:$E,0)))</f>
        <v/>
      </c>
      <c r="C856" s="179" t="str">
        <f>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20"/>
        <v/>
      </c>
      <c r="T856" s="174" t="str">
        <f ca="1">IF(B856="","",IF(ISERROR(MATCH($J856,SorP!$B$1:$B$6279,0)),"",INDIRECT("'SorP'!$A$"&amp;MATCH($S856&amp;$J856,SorP!C:C,0))))</f>
        <v/>
      </c>
      <c r="U856" s="194"/>
      <c r="V856" s="218" t="e">
        <f>IF(C856="",NA(),IF(OR(C856="Smelter not listed",C856="Smelter not yet identified"),MATCH($B856&amp;$D856,'Smelter Look-up'!$J:$J,0),MATCH($B856&amp;$C856,'Smelter Look-up'!$J:$J,0)))</f>
        <v>#N/A</v>
      </c>
      <c r="X856" s="219">
        <f t="shared" ca="1" si="121"/>
        <v>0</v>
      </c>
      <c r="AB856" s="220" t="str">
        <f t="shared" si="122"/>
        <v/>
      </c>
    </row>
    <row r="857" spans="1:28" s="219" customFormat="1" ht="20.25">
      <c r="A857" s="174"/>
      <c r="B857" s="175" t="str">
        <f>IF(LEN(A857)=0,"",INDEX('Smelter Look-up'!$A:$A,MATCH($A857,'Smelter Look-up'!$E:$E,0)))</f>
        <v/>
      </c>
      <c r="C857" s="179" t="str">
        <f>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20"/>
        <v/>
      </c>
      <c r="T857" s="174" t="str">
        <f ca="1">IF(B857="","",IF(ISERROR(MATCH($J857,SorP!$B$1:$B$6279,0)),"",INDIRECT("'SorP'!$A$"&amp;MATCH($S857&amp;$J857,SorP!C:C,0))))</f>
        <v/>
      </c>
      <c r="U857" s="194"/>
      <c r="V857" s="218" t="e">
        <f>IF(C857="",NA(),IF(OR(C857="Smelter not listed",C857="Smelter not yet identified"),MATCH($B857&amp;$D857,'Smelter Look-up'!$J:$J,0),MATCH($B857&amp;$C857,'Smelter Look-up'!$J:$J,0)))</f>
        <v>#N/A</v>
      </c>
      <c r="X857" s="219">
        <f t="shared" ca="1" si="121"/>
        <v>0</v>
      </c>
      <c r="AB857" s="220" t="str">
        <f t="shared" si="122"/>
        <v/>
      </c>
    </row>
    <row r="858" spans="1:28" s="219" customFormat="1" ht="20.25">
      <c r="A858" s="174"/>
      <c r="B858" s="175" t="str">
        <f>IF(LEN(A858)=0,"",INDEX('Smelter Look-up'!$A:$A,MATCH($A858,'Smelter Look-up'!$E:$E,0)))</f>
        <v/>
      </c>
      <c r="C858" s="179" t="str">
        <f>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120"/>
        <v/>
      </c>
      <c r="T858" s="174" t="str">
        <f ca="1">IF(B858="","",IF(ISERROR(MATCH($J858,SorP!$B$1:$B$6279,0)),"",INDIRECT("'SorP'!$A$"&amp;MATCH($S858&amp;$J858,SorP!C:C,0))))</f>
        <v/>
      </c>
      <c r="U858" s="194"/>
      <c r="V858" s="218" t="e">
        <f>IF(C858="",NA(),IF(OR(C858="Smelter not listed",C858="Smelter not yet identified"),MATCH($B858&amp;$D858,'Smelter Look-up'!$J:$J,0),MATCH($B858&amp;$C858,'Smelter Look-up'!$J:$J,0)))</f>
        <v>#N/A</v>
      </c>
      <c r="X858" s="219">
        <f t="shared" ca="1" si="121"/>
        <v>0</v>
      </c>
      <c r="AB858" s="220" t="str">
        <f t="shared" si="122"/>
        <v/>
      </c>
    </row>
    <row r="859" spans="1:28" s="219" customFormat="1" ht="20.25">
      <c r="A859" s="174"/>
      <c r="B859" s="175" t="str">
        <f>IF(LEN(A859)=0,"",INDEX('Smelter Look-up'!$A:$A,MATCH($A859,'Smelter Look-up'!$E:$E,0)))</f>
        <v/>
      </c>
      <c r="C859" s="179" t="str">
        <f>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120"/>
        <v/>
      </c>
      <c r="T859" s="174" t="str">
        <f ca="1">IF(B859="","",IF(ISERROR(MATCH($J859,SorP!$B$1:$B$6279,0)),"",INDIRECT("'SorP'!$A$"&amp;MATCH($S859&amp;$J859,SorP!C:C,0))))</f>
        <v/>
      </c>
      <c r="U859" s="194"/>
      <c r="V859" s="218" t="e">
        <f>IF(C859="",NA(),IF(OR(C859="Smelter not listed",C859="Smelter not yet identified"),MATCH($B859&amp;$D859,'Smelter Look-up'!$J:$J,0),MATCH($B859&amp;$C859,'Smelter Look-up'!$J:$J,0)))</f>
        <v>#N/A</v>
      </c>
      <c r="X859" s="219">
        <f t="shared" ca="1" si="121"/>
        <v>0</v>
      </c>
      <c r="AB859" s="220" t="str">
        <f t="shared" si="122"/>
        <v/>
      </c>
    </row>
    <row r="860" spans="1:28" s="219" customFormat="1" ht="20.25">
      <c r="A860" s="174"/>
      <c r="B860" s="175" t="str">
        <f>IF(LEN(A860)=0,"",INDEX('Smelter Look-up'!$A:$A,MATCH($A860,'Smelter Look-up'!$E:$E,0)))</f>
        <v/>
      </c>
      <c r="C860" s="179" t="str">
        <f>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ref="S860:S890" ca="1" si="123">IF(B860="","",IF(ISERROR(MATCH($E860,CL,0)),"Unknown",INDIRECT("'C'!$A$"&amp;MATCH($E860,CL,0)+1)))</f>
        <v/>
      </c>
      <c r="T860" s="174" t="str">
        <f ca="1">IF(B860="","",IF(ISERROR(MATCH($J860,SorP!$B$1:$B$6279,0)),"",INDIRECT("'SorP'!$A$"&amp;MATCH($S860&amp;$J860,SorP!C:C,0))))</f>
        <v/>
      </c>
      <c r="U860" s="194"/>
      <c r="V860" s="218" t="e">
        <f>IF(C860="",NA(),IF(OR(C860="Smelter not listed",C860="Smelter not yet identified"),MATCH($B860&amp;$D860,'Smelter Look-up'!$J:$J,0),MATCH($B860&amp;$C860,'Smelter Look-up'!$J:$J,0)))</f>
        <v>#N/A</v>
      </c>
      <c r="X860" s="219">
        <f t="shared" ref="X860:X890" ca="1" si="124">IF(AND(C860="Smelter not listed",OR(LEN(D860)=0,LEN(E860)=0)),1,0)</f>
        <v>0</v>
      </c>
      <c r="AB860" s="220" t="str">
        <f t="shared" ref="AB860:AB890" si="125">B860&amp;C860</f>
        <v/>
      </c>
    </row>
    <row r="861" spans="1:28" s="219" customFormat="1" ht="20.25">
      <c r="A861" s="174"/>
      <c r="B861" s="175" t="str">
        <f>IF(LEN(A861)=0,"",INDEX('Smelter Look-up'!$A:$A,MATCH($A861,'Smelter Look-up'!$E:$E,0)))</f>
        <v/>
      </c>
      <c r="C861" s="179" t="str">
        <f>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23"/>
        <v/>
      </c>
      <c r="T861" s="174" t="str">
        <f ca="1">IF(B861="","",IF(ISERROR(MATCH($J861,SorP!$B$1:$B$6279,0)),"",INDIRECT("'SorP'!$A$"&amp;MATCH($S861&amp;$J861,SorP!C:C,0))))</f>
        <v/>
      </c>
      <c r="U861" s="194"/>
      <c r="V861" s="218" t="e">
        <f>IF(C861="",NA(),IF(OR(C861="Smelter not listed",C861="Smelter not yet identified"),MATCH($B861&amp;$D861,'Smelter Look-up'!$J:$J,0),MATCH($B861&amp;$C861,'Smelter Look-up'!$J:$J,0)))</f>
        <v>#N/A</v>
      </c>
      <c r="X861" s="219">
        <f t="shared" ca="1" si="124"/>
        <v>0</v>
      </c>
      <c r="AB861" s="220" t="str">
        <f t="shared" si="125"/>
        <v/>
      </c>
    </row>
    <row r="862" spans="1:28" s="219" customFormat="1" ht="20.25">
      <c r="A862" s="174"/>
      <c r="B862" s="175" t="str">
        <f>IF(LEN(A862)=0,"",INDEX('Smelter Look-up'!$A:$A,MATCH($A862,'Smelter Look-up'!$E:$E,0)))</f>
        <v/>
      </c>
      <c r="C862" s="179" t="str">
        <f>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23"/>
        <v/>
      </c>
      <c r="T862" s="174" t="str">
        <f ca="1">IF(B862="","",IF(ISERROR(MATCH($J862,SorP!$B$1:$B$6279,0)),"",INDIRECT("'SorP'!$A$"&amp;MATCH($S862&amp;$J862,SorP!C:C,0))))</f>
        <v/>
      </c>
      <c r="U862" s="194"/>
      <c r="V862" s="218" t="e">
        <f>IF(C862="",NA(),IF(OR(C862="Smelter not listed",C862="Smelter not yet identified"),MATCH($B862&amp;$D862,'Smelter Look-up'!$J:$J,0),MATCH($B862&amp;$C862,'Smelter Look-up'!$J:$J,0)))</f>
        <v>#N/A</v>
      </c>
      <c r="X862" s="219">
        <f t="shared" ca="1" si="124"/>
        <v>0</v>
      </c>
      <c r="AB862" s="220" t="str">
        <f t="shared" si="125"/>
        <v/>
      </c>
    </row>
    <row r="863" spans="1:28" s="219" customFormat="1" ht="20.25">
      <c r="A863" s="174"/>
      <c r="B863" s="175" t="str">
        <f>IF(LEN(A863)=0,"",INDEX('Smelter Look-up'!$A:$A,MATCH($A863,'Smelter Look-up'!$E:$E,0)))</f>
        <v/>
      </c>
      <c r="C863" s="179" t="str">
        <f>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23"/>
        <v/>
      </c>
      <c r="T863" s="174" t="str">
        <f ca="1">IF(B863="","",IF(ISERROR(MATCH($J863,SorP!$B$1:$B$6279,0)),"",INDIRECT("'SorP'!$A$"&amp;MATCH($S863&amp;$J863,SorP!C:C,0))))</f>
        <v/>
      </c>
      <c r="U863" s="194"/>
      <c r="V863" s="218" t="e">
        <f>IF(C863="",NA(),IF(OR(C863="Smelter not listed",C863="Smelter not yet identified"),MATCH($B863&amp;$D863,'Smelter Look-up'!$J:$J,0),MATCH($B863&amp;$C863,'Smelter Look-up'!$J:$J,0)))</f>
        <v>#N/A</v>
      </c>
      <c r="X863" s="219">
        <f t="shared" ca="1" si="124"/>
        <v>0</v>
      </c>
      <c r="AB863" s="220" t="str">
        <f t="shared" si="125"/>
        <v/>
      </c>
    </row>
    <row r="864" spans="1:28" s="219" customFormat="1" ht="20.25">
      <c r="A864" s="174"/>
      <c r="B864" s="175" t="str">
        <f>IF(LEN(A864)=0,"",INDEX('Smelter Look-up'!$A:$A,MATCH($A864,'Smelter Look-up'!$E:$E,0)))</f>
        <v/>
      </c>
      <c r="C864" s="179" t="str">
        <f>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23"/>
        <v/>
      </c>
      <c r="T864" s="174" t="str">
        <f ca="1">IF(B864="","",IF(ISERROR(MATCH($J864,SorP!$B$1:$B$6279,0)),"",INDIRECT("'SorP'!$A$"&amp;MATCH($S864&amp;$J864,SorP!C:C,0))))</f>
        <v/>
      </c>
      <c r="U864" s="194"/>
      <c r="V864" s="218" t="e">
        <f>IF(C864="",NA(),IF(OR(C864="Smelter not listed",C864="Smelter not yet identified"),MATCH($B864&amp;$D864,'Smelter Look-up'!$J:$J,0),MATCH($B864&amp;$C864,'Smelter Look-up'!$J:$J,0)))</f>
        <v>#N/A</v>
      </c>
      <c r="X864" s="219">
        <f t="shared" ca="1" si="124"/>
        <v>0</v>
      </c>
      <c r="AB864" s="220" t="str">
        <f t="shared" si="125"/>
        <v/>
      </c>
    </row>
    <row r="865" spans="1:28" s="219" customFormat="1" ht="20.25">
      <c r="A865" s="174"/>
      <c r="B865" s="175" t="str">
        <f>IF(LEN(A865)=0,"",INDEX('Smelter Look-up'!$A:$A,MATCH($A865,'Smelter Look-up'!$E:$E,0)))</f>
        <v/>
      </c>
      <c r="C865" s="179" t="str">
        <f>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23"/>
        <v/>
      </c>
      <c r="T865" s="174" t="str">
        <f ca="1">IF(B865="","",IF(ISERROR(MATCH($J865,SorP!$B$1:$B$6279,0)),"",INDIRECT("'SorP'!$A$"&amp;MATCH($S865&amp;$J865,SorP!C:C,0))))</f>
        <v/>
      </c>
      <c r="U865" s="194"/>
      <c r="V865" s="218" t="e">
        <f>IF(C865="",NA(),IF(OR(C865="Smelter not listed",C865="Smelter not yet identified"),MATCH($B865&amp;$D865,'Smelter Look-up'!$J:$J,0),MATCH($B865&amp;$C865,'Smelter Look-up'!$J:$J,0)))</f>
        <v>#N/A</v>
      </c>
      <c r="X865" s="219">
        <f t="shared" ca="1" si="124"/>
        <v>0</v>
      </c>
      <c r="AB865" s="220" t="str">
        <f t="shared" si="125"/>
        <v/>
      </c>
    </row>
    <row r="866" spans="1:28" s="219" customFormat="1" ht="20.25">
      <c r="A866" s="174"/>
      <c r="B866" s="175" t="str">
        <f>IF(LEN(A866)=0,"",INDEX('Smelter Look-up'!$A:$A,MATCH($A866,'Smelter Look-up'!$E:$E,0)))</f>
        <v/>
      </c>
      <c r="C866" s="179" t="str">
        <f>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23"/>
        <v/>
      </c>
      <c r="T866" s="174" t="str">
        <f ca="1">IF(B866="","",IF(ISERROR(MATCH($J866,SorP!$B$1:$B$6279,0)),"",INDIRECT("'SorP'!$A$"&amp;MATCH($S866&amp;$J866,SorP!C:C,0))))</f>
        <v/>
      </c>
      <c r="U866" s="194"/>
      <c r="V866" s="218" t="e">
        <f>IF(C866="",NA(),IF(OR(C866="Smelter not listed",C866="Smelter not yet identified"),MATCH($B866&amp;$D866,'Smelter Look-up'!$J:$J,0),MATCH($B866&amp;$C866,'Smelter Look-up'!$J:$J,0)))</f>
        <v>#N/A</v>
      </c>
      <c r="X866" s="219">
        <f t="shared" ca="1" si="124"/>
        <v>0</v>
      </c>
      <c r="AB866" s="220" t="str">
        <f t="shared" si="125"/>
        <v/>
      </c>
    </row>
    <row r="867" spans="1:28" s="219" customFormat="1" ht="20.25">
      <c r="A867" s="174"/>
      <c r="B867" s="175" t="str">
        <f>IF(LEN(A867)=0,"",INDEX('Smelter Look-up'!$A:$A,MATCH($A867,'Smelter Look-up'!$E:$E,0)))</f>
        <v/>
      </c>
      <c r="C867" s="179" t="str">
        <f>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23"/>
        <v/>
      </c>
      <c r="T867" s="174" t="str">
        <f ca="1">IF(B867="","",IF(ISERROR(MATCH($J867,SorP!$B$1:$B$6279,0)),"",INDIRECT("'SorP'!$A$"&amp;MATCH($S867&amp;$J867,SorP!C:C,0))))</f>
        <v/>
      </c>
      <c r="U867" s="194"/>
      <c r="V867" s="218" t="e">
        <f>IF(C867="",NA(),IF(OR(C867="Smelter not listed",C867="Smelter not yet identified"),MATCH($B867&amp;$D867,'Smelter Look-up'!$J:$J,0),MATCH($B867&amp;$C867,'Smelter Look-up'!$J:$J,0)))</f>
        <v>#N/A</v>
      </c>
      <c r="X867" s="219">
        <f t="shared" ca="1" si="124"/>
        <v>0</v>
      </c>
      <c r="AB867" s="220" t="str">
        <f t="shared" si="125"/>
        <v/>
      </c>
    </row>
    <row r="868" spans="1:28" s="219" customFormat="1" ht="20.25">
      <c r="A868" s="174"/>
      <c r="B868" s="175" t="str">
        <f>IF(LEN(A868)=0,"",INDEX('Smelter Look-up'!$A:$A,MATCH($A868,'Smelter Look-up'!$E:$E,0)))</f>
        <v/>
      </c>
      <c r="C868" s="179" t="str">
        <f>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23"/>
        <v/>
      </c>
      <c r="T868" s="174" t="str">
        <f ca="1">IF(B868="","",IF(ISERROR(MATCH($J868,SorP!$B$1:$B$6279,0)),"",INDIRECT("'SorP'!$A$"&amp;MATCH($S868&amp;$J868,SorP!C:C,0))))</f>
        <v/>
      </c>
      <c r="U868" s="194"/>
      <c r="V868" s="218" t="e">
        <f>IF(C868="",NA(),IF(OR(C868="Smelter not listed",C868="Smelter not yet identified"),MATCH($B868&amp;$D868,'Smelter Look-up'!$J:$J,0),MATCH($B868&amp;$C868,'Smelter Look-up'!$J:$J,0)))</f>
        <v>#N/A</v>
      </c>
      <c r="X868" s="219">
        <f t="shared" ca="1" si="124"/>
        <v>0</v>
      </c>
      <c r="AB868" s="220" t="str">
        <f t="shared" si="125"/>
        <v/>
      </c>
    </row>
    <row r="869" spans="1:28" s="219" customFormat="1" ht="20.25">
      <c r="A869" s="174"/>
      <c r="B869" s="175" t="str">
        <f>IF(LEN(A869)=0,"",INDEX('Smelter Look-up'!$A:$A,MATCH($A869,'Smelter Look-up'!$E:$E,0)))</f>
        <v/>
      </c>
      <c r="C869" s="179" t="str">
        <f>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23"/>
        <v/>
      </c>
      <c r="T869" s="174" t="str">
        <f ca="1">IF(B869="","",IF(ISERROR(MATCH($J869,SorP!$B$1:$B$6279,0)),"",INDIRECT("'SorP'!$A$"&amp;MATCH($S869&amp;$J869,SorP!C:C,0))))</f>
        <v/>
      </c>
      <c r="U869" s="194"/>
      <c r="V869" s="218" t="e">
        <f>IF(C869="",NA(),IF(OR(C869="Smelter not listed",C869="Smelter not yet identified"),MATCH($B869&amp;$D869,'Smelter Look-up'!$J:$J,0),MATCH($B869&amp;$C869,'Smelter Look-up'!$J:$J,0)))</f>
        <v>#N/A</v>
      </c>
      <c r="X869" s="219">
        <f t="shared" ca="1" si="124"/>
        <v>0</v>
      </c>
      <c r="AB869" s="220" t="str">
        <f t="shared" si="125"/>
        <v/>
      </c>
    </row>
    <row r="870" spans="1:28" s="219" customFormat="1" ht="20.25">
      <c r="A870" s="174"/>
      <c r="B870" s="175" t="str">
        <f>IF(LEN(A870)=0,"",INDEX('Smelter Look-up'!$A:$A,MATCH($A870,'Smelter Look-up'!$E:$E,0)))</f>
        <v/>
      </c>
      <c r="C870" s="179" t="str">
        <f>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23"/>
        <v/>
      </c>
      <c r="T870" s="174" t="str">
        <f ca="1">IF(B870="","",IF(ISERROR(MATCH($J870,SorP!$B$1:$B$6279,0)),"",INDIRECT("'SorP'!$A$"&amp;MATCH($S870&amp;$J870,SorP!C:C,0))))</f>
        <v/>
      </c>
      <c r="U870" s="194"/>
      <c r="V870" s="218" t="e">
        <f>IF(C870="",NA(),IF(OR(C870="Smelter not listed",C870="Smelter not yet identified"),MATCH($B870&amp;$D870,'Smelter Look-up'!$J:$J,0),MATCH($B870&amp;$C870,'Smelter Look-up'!$J:$J,0)))</f>
        <v>#N/A</v>
      </c>
      <c r="X870" s="219">
        <f t="shared" ca="1" si="124"/>
        <v>0</v>
      </c>
      <c r="AB870" s="220" t="str">
        <f t="shared" si="125"/>
        <v/>
      </c>
    </row>
    <row r="871" spans="1:28" s="219" customFormat="1" ht="20.25">
      <c r="A871" s="174"/>
      <c r="B871" s="175" t="str">
        <f>IF(LEN(A871)=0,"",INDEX('Smelter Look-up'!$A:$A,MATCH($A871,'Smelter Look-up'!$E:$E,0)))</f>
        <v/>
      </c>
      <c r="C871" s="179" t="str">
        <f>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23"/>
        <v/>
      </c>
      <c r="T871" s="174" t="str">
        <f ca="1">IF(B871="","",IF(ISERROR(MATCH($J871,SorP!$B$1:$B$6279,0)),"",INDIRECT("'SorP'!$A$"&amp;MATCH($S871&amp;$J871,SorP!C:C,0))))</f>
        <v/>
      </c>
      <c r="U871" s="194"/>
      <c r="V871" s="218" t="e">
        <f>IF(C871="",NA(),IF(OR(C871="Smelter not listed",C871="Smelter not yet identified"),MATCH($B871&amp;$D871,'Smelter Look-up'!$J:$J,0),MATCH($B871&amp;$C871,'Smelter Look-up'!$J:$J,0)))</f>
        <v>#N/A</v>
      </c>
      <c r="X871" s="219">
        <f t="shared" ca="1" si="124"/>
        <v>0</v>
      </c>
      <c r="AB871" s="220" t="str">
        <f t="shared" si="125"/>
        <v/>
      </c>
    </row>
    <row r="872" spans="1:28" s="219" customFormat="1" ht="20.25">
      <c r="A872" s="174"/>
      <c r="B872" s="175" t="str">
        <f>IF(LEN(A872)=0,"",INDEX('Smelter Look-up'!$A:$A,MATCH($A872,'Smelter Look-up'!$E:$E,0)))</f>
        <v/>
      </c>
      <c r="C872" s="179" t="str">
        <f>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23"/>
        <v/>
      </c>
      <c r="T872" s="174" t="str">
        <f ca="1">IF(B872="","",IF(ISERROR(MATCH($J872,SorP!$B$1:$B$6279,0)),"",INDIRECT("'SorP'!$A$"&amp;MATCH($S872&amp;$J872,SorP!C:C,0))))</f>
        <v/>
      </c>
      <c r="U872" s="194"/>
      <c r="V872" s="218" t="e">
        <f>IF(C872="",NA(),IF(OR(C872="Smelter not listed",C872="Smelter not yet identified"),MATCH($B872&amp;$D872,'Smelter Look-up'!$J:$J,0),MATCH($B872&amp;$C872,'Smelter Look-up'!$J:$J,0)))</f>
        <v>#N/A</v>
      </c>
      <c r="X872" s="219">
        <f t="shared" ca="1" si="124"/>
        <v>0</v>
      </c>
      <c r="AB872" s="220" t="str">
        <f t="shared" si="125"/>
        <v/>
      </c>
    </row>
    <row r="873" spans="1:28" s="219" customFormat="1" ht="20.25">
      <c r="A873" s="174"/>
      <c r="B873" s="175" t="str">
        <f>IF(LEN(A873)=0,"",INDEX('Smelter Look-up'!$A:$A,MATCH($A873,'Smelter Look-up'!$E:$E,0)))</f>
        <v/>
      </c>
      <c r="C873" s="179" t="str">
        <f>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23"/>
        <v/>
      </c>
      <c r="T873" s="174" t="str">
        <f ca="1">IF(B873="","",IF(ISERROR(MATCH($J873,SorP!$B$1:$B$6279,0)),"",INDIRECT("'SorP'!$A$"&amp;MATCH($S873&amp;$J873,SorP!C:C,0))))</f>
        <v/>
      </c>
      <c r="U873" s="194"/>
      <c r="V873" s="218" t="e">
        <f>IF(C873="",NA(),IF(OR(C873="Smelter not listed",C873="Smelter not yet identified"),MATCH($B873&amp;$D873,'Smelter Look-up'!$J:$J,0),MATCH($B873&amp;$C873,'Smelter Look-up'!$J:$J,0)))</f>
        <v>#N/A</v>
      </c>
      <c r="X873" s="219">
        <f t="shared" ca="1" si="124"/>
        <v>0</v>
      </c>
      <c r="AB873" s="220" t="str">
        <f t="shared" si="125"/>
        <v/>
      </c>
    </row>
    <row r="874" spans="1:28" s="219" customFormat="1" ht="20.25">
      <c r="A874" s="174"/>
      <c r="B874" s="175" t="str">
        <f>IF(LEN(A874)=0,"",INDEX('Smelter Look-up'!$A:$A,MATCH($A874,'Smelter Look-up'!$E:$E,0)))</f>
        <v/>
      </c>
      <c r="C874" s="179" t="str">
        <f>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23"/>
        <v/>
      </c>
      <c r="T874" s="174" t="str">
        <f ca="1">IF(B874="","",IF(ISERROR(MATCH($J874,SorP!$B$1:$B$6279,0)),"",INDIRECT("'SorP'!$A$"&amp;MATCH($S874&amp;$J874,SorP!C:C,0))))</f>
        <v/>
      </c>
      <c r="U874" s="194"/>
      <c r="V874" s="218" t="e">
        <f>IF(C874="",NA(),IF(OR(C874="Smelter not listed",C874="Smelter not yet identified"),MATCH($B874&amp;$D874,'Smelter Look-up'!$J:$J,0),MATCH($B874&amp;$C874,'Smelter Look-up'!$J:$J,0)))</f>
        <v>#N/A</v>
      </c>
      <c r="X874" s="219">
        <f t="shared" ca="1" si="124"/>
        <v>0</v>
      </c>
      <c r="AB874" s="220" t="str">
        <f t="shared" si="125"/>
        <v/>
      </c>
    </row>
    <row r="875" spans="1:28" s="219" customFormat="1" ht="20.25">
      <c r="A875" s="174"/>
      <c r="B875" s="175" t="str">
        <f>IF(LEN(A875)=0,"",INDEX('Smelter Look-up'!$A:$A,MATCH($A875,'Smelter Look-up'!$E:$E,0)))</f>
        <v/>
      </c>
      <c r="C875" s="179" t="str">
        <f>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23"/>
        <v/>
      </c>
      <c r="T875" s="174" t="str">
        <f ca="1">IF(B875="","",IF(ISERROR(MATCH($J875,SorP!$B$1:$B$6279,0)),"",INDIRECT("'SorP'!$A$"&amp;MATCH($S875&amp;$J875,SorP!C:C,0))))</f>
        <v/>
      </c>
      <c r="U875" s="194"/>
      <c r="V875" s="218" t="e">
        <f>IF(C875="",NA(),IF(OR(C875="Smelter not listed",C875="Smelter not yet identified"),MATCH($B875&amp;$D875,'Smelter Look-up'!$J:$J,0),MATCH($B875&amp;$C875,'Smelter Look-up'!$J:$J,0)))</f>
        <v>#N/A</v>
      </c>
      <c r="X875" s="219">
        <f t="shared" ca="1" si="124"/>
        <v>0</v>
      </c>
      <c r="AB875" s="220" t="str">
        <f t="shared" si="125"/>
        <v/>
      </c>
    </row>
    <row r="876" spans="1:28" s="219" customFormat="1" ht="20.25">
      <c r="A876" s="174"/>
      <c r="B876" s="175" t="str">
        <f>IF(LEN(A876)=0,"",INDEX('Smelter Look-up'!$A:$A,MATCH($A876,'Smelter Look-up'!$E:$E,0)))</f>
        <v/>
      </c>
      <c r="C876" s="179" t="str">
        <f>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23"/>
        <v/>
      </c>
      <c r="T876" s="174" t="str">
        <f ca="1">IF(B876="","",IF(ISERROR(MATCH($J876,SorP!$B$1:$B$6279,0)),"",INDIRECT("'SorP'!$A$"&amp;MATCH($S876&amp;$J876,SorP!C:C,0))))</f>
        <v/>
      </c>
      <c r="U876" s="194"/>
      <c r="V876" s="218" t="e">
        <f>IF(C876="",NA(),IF(OR(C876="Smelter not listed",C876="Smelter not yet identified"),MATCH($B876&amp;$D876,'Smelter Look-up'!$J:$J,0),MATCH($B876&amp;$C876,'Smelter Look-up'!$J:$J,0)))</f>
        <v>#N/A</v>
      </c>
      <c r="X876" s="219">
        <f t="shared" ca="1" si="124"/>
        <v>0</v>
      </c>
      <c r="AB876" s="220" t="str">
        <f t="shared" si="125"/>
        <v/>
      </c>
    </row>
    <row r="877" spans="1:28" s="219" customFormat="1" ht="20.25">
      <c r="A877" s="174"/>
      <c r="B877" s="175" t="str">
        <f>IF(LEN(A877)=0,"",INDEX('Smelter Look-up'!$A:$A,MATCH($A877,'Smelter Look-up'!$E:$E,0)))</f>
        <v/>
      </c>
      <c r="C877" s="179" t="str">
        <f>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23"/>
        <v/>
      </c>
      <c r="T877" s="174" t="str">
        <f ca="1">IF(B877="","",IF(ISERROR(MATCH($J877,SorP!$B$1:$B$6279,0)),"",INDIRECT("'SorP'!$A$"&amp;MATCH($S877&amp;$J877,SorP!C:C,0))))</f>
        <v/>
      </c>
      <c r="U877" s="194"/>
      <c r="V877" s="218" t="e">
        <f>IF(C877="",NA(),IF(OR(C877="Smelter not listed",C877="Smelter not yet identified"),MATCH($B877&amp;$D877,'Smelter Look-up'!$J:$J,0),MATCH($B877&amp;$C877,'Smelter Look-up'!$J:$J,0)))</f>
        <v>#N/A</v>
      </c>
      <c r="X877" s="219">
        <f t="shared" ca="1" si="124"/>
        <v>0</v>
      </c>
      <c r="AB877" s="220" t="str">
        <f t="shared" si="125"/>
        <v/>
      </c>
    </row>
    <row r="878" spans="1:28" s="219" customFormat="1" ht="20.25">
      <c r="A878" s="174"/>
      <c r="B878" s="175" t="str">
        <f>IF(LEN(A878)=0,"",INDEX('Smelter Look-up'!$A:$A,MATCH($A878,'Smelter Look-up'!$E:$E,0)))</f>
        <v/>
      </c>
      <c r="C878" s="179" t="str">
        <f>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23"/>
        <v/>
      </c>
      <c r="T878" s="174" t="str">
        <f ca="1">IF(B878="","",IF(ISERROR(MATCH($J878,SorP!$B$1:$B$6279,0)),"",INDIRECT("'SorP'!$A$"&amp;MATCH($S878&amp;$J878,SorP!C:C,0))))</f>
        <v/>
      </c>
      <c r="U878" s="194"/>
      <c r="V878" s="218" t="e">
        <f>IF(C878="",NA(),IF(OR(C878="Smelter not listed",C878="Smelter not yet identified"),MATCH($B878&amp;$D878,'Smelter Look-up'!$J:$J,0),MATCH($B878&amp;$C878,'Smelter Look-up'!$J:$J,0)))</f>
        <v>#N/A</v>
      </c>
      <c r="X878" s="219">
        <f t="shared" ca="1" si="124"/>
        <v>0</v>
      </c>
      <c r="AB878" s="220" t="str">
        <f t="shared" si="125"/>
        <v/>
      </c>
    </row>
    <row r="879" spans="1:28" s="219" customFormat="1" ht="20.25">
      <c r="A879" s="174"/>
      <c r="B879" s="175" t="str">
        <f>IF(LEN(A879)=0,"",INDEX('Smelter Look-up'!$A:$A,MATCH($A879,'Smelter Look-up'!$E:$E,0)))</f>
        <v/>
      </c>
      <c r="C879" s="179" t="str">
        <f>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23"/>
        <v/>
      </c>
      <c r="T879" s="174" t="str">
        <f ca="1">IF(B879="","",IF(ISERROR(MATCH($J879,SorP!$B$1:$B$6279,0)),"",INDIRECT("'SorP'!$A$"&amp;MATCH($S879&amp;$J879,SorP!C:C,0))))</f>
        <v/>
      </c>
      <c r="U879" s="194"/>
      <c r="V879" s="218" t="e">
        <f>IF(C879="",NA(),IF(OR(C879="Smelter not listed",C879="Smelter not yet identified"),MATCH($B879&amp;$D879,'Smelter Look-up'!$J:$J,0),MATCH($B879&amp;$C879,'Smelter Look-up'!$J:$J,0)))</f>
        <v>#N/A</v>
      </c>
      <c r="X879" s="219">
        <f t="shared" ca="1" si="124"/>
        <v>0</v>
      </c>
      <c r="AB879" s="220" t="str">
        <f t="shared" si="125"/>
        <v/>
      </c>
    </row>
    <row r="880" spans="1:28" s="219" customFormat="1" ht="20.25">
      <c r="A880" s="174"/>
      <c r="B880" s="175" t="str">
        <f>IF(LEN(A880)=0,"",INDEX('Smelter Look-up'!$A:$A,MATCH($A880,'Smelter Look-up'!$E:$E,0)))</f>
        <v/>
      </c>
      <c r="C880" s="179" t="str">
        <f>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23"/>
        <v/>
      </c>
      <c r="T880" s="174" t="str">
        <f ca="1">IF(B880="","",IF(ISERROR(MATCH($J880,SorP!$B$1:$B$6279,0)),"",INDIRECT("'SorP'!$A$"&amp;MATCH($S880&amp;$J880,SorP!C:C,0))))</f>
        <v/>
      </c>
      <c r="U880" s="194"/>
      <c r="V880" s="218" t="e">
        <f>IF(C880="",NA(),IF(OR(C880="Smelter not listed",C880="Smelter not yet identified"),MATCH($B880&amp;$D880,'Smelter Look-up'!$J:$J,0),MATCH($B880&amp;$C880,'Smelter Look-up'!$J:$J,0)))</f>
        <v>#N/A</v>
      </c>
      <c r="X880" s="219">
        <f t="shared" ca="1" si="124"/>
        <v>0</v>
      </c>
      <c r="AB880" s="220" t="str">
        <f t="shared" si="125"/>
        <v/>
      </c>
    </row>
    <row r="881" spans="1:28" s="219" customFormat="1" ht="20.25">
      <c r="A881" s="174"/>
      <c r="B881" s="175" t="str">
        <f>IF(LEN(A881)=0,"",INDEX('Smelter Look-up'!$A:$A,MATCH($A881,'Smelter Look-up'!$E:$E,0)))</f>
        <v/>
      </c>
      <c r="C881" s="179" t="str">
        <f>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23"/>
        <v/>
      </c>
      <c r="T881" s="174" t="str">
        <f ca="1">IF(B881="","",IF(ISERROR(MATCH($J881,SorP!$B$1:$B$6279,0)),"",INDIRECT("'SorP'!$A$"&amp;MATCH($S881&amp;$J881,SorP!C:C,0))))</f>
        <v/>
      </c>
      <c r="U881" s="194"/>
      <c r="V881" s="218" t="e">
        <f>IF(C881="",NA(),IF(OR(C881="Smelter not listed",C881="Smelter not yet identified"),MATCH($B881&amp;$D881,'Smelter Look-up'!$J:$J,0),MATCH($B881&amp;$C881,'Smelter Look-up'!$J:$J,0)))</f>
        <v>#N/A</v>
      </c>
      <c r="X881" s="219">
        <f t="shared" ca="1" si="124"/>
        <v>0</v>
      </c>
      <c r="AB881" s="220" t="str">
        <f t="shared" si="125"/>
        <v/>
      </c>
    </row>
    <row r="882" spans="1:28" s="219" customFormat="1" ht="20.25">
      <c r="A882" s="174"/>
      <c r="B882" s="175" t="str">
        <f>IF(LEN(A882)=0,"",INDEX('Smelter Look-up'!$A:$A,MATCH($A882,'Smelter Look-up'!$E:$E,0)))</f>
        <v/>
      </c>
      <c r="C882" s="179" t="str">
        <f>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23"/>
        <v/>
      </c>
      <c r="T882" s="174" t="str">
        <f ca="1">IF(B882="","",IF(ISERROR(MATCH($J882,SorP!$B$1:$B$6279,0)),"",INDIRECT("'SorP'!$A$"&amp;MATCH($S882&amp;$J882,SorP!C:C,0))))</f>
        <v/>
      </c>
      <c r="U882" s="194"/>
      <c r="V882" s="218" t="e">
        <f>IF(C882="",NA(),IF(OR(C882="Smelter not listed",C882="Smelter not yet identified"),MATCH($B882&amp;$D882,'Smelter Look-up'!$J:$J,0),MATCH($B882&amp;$C882,'Smelter Look-up'!$J:$J,0)))</f>
        <v>#N/A</v>
      </c>
      <c r="X882" s="219">
        <f t="shared" ca="1" si="124"/>
        <v>0</v>
      </c>
      <c r="AB882" s="220" t="str">
        <f t="shared" si="125"/>
        <v/>
      </c>
    </row>
    <row r="883" spans="1:28" s="219" customFormat="1" ht="20.25">
      <c r="A883" s="174"/>
      <c r="B883" s="175" t="str">
        <f>IF(LEN(A883)=0,"",INDEX('Smelter Look-up'!$A:$A,MATCH($A883,'Smelter Look-up'!$E:$E,0)))</f>
        <v/>
      </c>
      <c r="C883" s="179" t="str">
        <f>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123"/>
        <v/>
      </c>
      <c r="T883" s="174" t="str">
        <f ca="1">IF(B883="","",IF(ISERROR(MATCH($J883,SorP!$B$1:$B$6279,0)),"",INDIRECT("'SorP'!$A$"&amp;MATCH($S883&amp;$J883,SorP!C:C,0))))</f>
        <v/>
      </c>
      <c r="U883" s="194"/>
      <c r="V883" s="218" t="e">
        <f>IF(C883="",NA(),IF(OR(C883="Smelter not listed",C883="Smelter not yet identified"),MATCH($B883&amp;$D883,'Smelter Look-up'!$J:$J,0),MATCH($B883&amp;$C883,'Smelter Look-up'!$J:$J,0)))</f>
        <v>#N/A</v>
      </c>
      <c r="X883" s="219">
        <f t="shared" ca="1" si="124"/>
        <v>0</v>
      </c>
      <c r="AB883" s="220" t="str">
        <f t="shared" si="125"/>
        <v/>
      </c>
    </row>
    <row r="884" spans="1:28" s="219" customFormat="1" ht="20.25">
      <c r="A884" s="174"/>
      <c r="B884" s="175" t="str">
        <f>IF(LEN(A884)=0,"",INDEX('Smelter Look-up'!$A:$A,MATCH($A884,'Smelter Look-up'!$E:$E,0)))</f>
        <v/>
      </c>
      <c r="C884" s="179" t="str">
        <f>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23"/>
        <v/>
      </c>
      <c r="T884" s="174" t="str">
        <f ca="1">IF(B884="","",IF(ISERROR(MATCH($J884,SorP!$B$1:$B$6279,0)),"",INDIRECT("'SorP'!$A$"&amp;MATCH($S884&amp;$J884,SorP!C:C,0))))</f>
        <v/>
      </c>
      <c r="U884" s="194"/>
      <c r="V884" s="218" t="e">
        <f>IF(C884="",NA(),IF(OR(C884="Smelter not listed",C884="Smelter not yet identified"),MATCH($B884&amp;$D884,'Smelter Look-up'!$J:$J,0),MATCH($B884&amp;$C884,'Smelter Look-up'!$J:$J,0)))</f>
        <v>#N/A</v>
      </c>
      <c r="X884" s="219">
        <f t="shared" ca="1" si="124"/>
        <v>0</v>
      </c>
      <c r="AB884" s="220" t="str">
        <f t="shared" si="125"/>
        <v/>
      </c>
    </row>
    <row r="885" spans="1:28" s="219" customFormat="1" ht="20.25">
      <c r="A885" s="174"/>
      <c r="B885" s="175" t="str">
        <f>IF(LEN(A885)=0,"",INDEX('Smelter Look-up'!$A:$A,MATCH($A885,'Smelter Look-up'!$E:$E,0)))</f>
        <v/>
      </c>
      <c r="C885" s="179" t="str">
        <f>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23"/>
        <v/>
      </c>
      <c r="T885" s="174" t="str">
        <f ca="1">IF(B885="","",IF(ISERROR(MATCH($J885,SorP!$B$1:$B$6279,0)),"",INDIRECT("'SorP'!$A$"&amp;MATCH($S885&amp;$J885,SorP!C:C,0))))</f>
        <v/>
      </c>
      <c r="U885" s="194"/>
      <c r="V885" s="218" t="e">
        <f>IF(C885="",NA(),IF(OR(C885="Smelter not listed",C885="Smelter not yet identified"),MATCH($B885&amp;$D885,'Smelter Look-up'!$J:$J,0),MATCH($B885&amp;$C885,'Smelter Look-up'!$J:$J,0)))</f>
        <v>#N/A</v>
      </c>
      <c r="X885" s="219">
        <f t="shared" ca="1" si="124"/>
        <v>0</v>
      </c>
      <c r="AB885" s="220" t="str">
        <f t="shared" si="125"/>
        <v/>
      </c>
    </row>
    <row r="886" spans="1:28" s="219" customFormat="1" ht="20.25">
      <c r="A886" s="174"/>
      <c r="B886" s="175" t="str">
        <f>IF(LEN(A886)=0,"",INDEX('Smelter Look-up'!$A:$A,MATCH($A886,'Smelter Look-up'!$E:$E,0)))</f>
        <v/>
      </c>
      <c r="C886" s="179" t="str">
        <f>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23"/>
        <v/>
      </c>
      <c r="T886" s="174" t="str">
        <f ca="1">IF(B886="","",IF(ISERROR(MATCH($J886,SorP!$B$1:$B$6279,0)),"",INDIRECT("'SorP'!$A$"&amp;MATCH($S886&amp;$J886,SorP!C:C,0))))</f>
        <v/>
      </c>
      <c r="U886" s="194"/>
      <c r="V886" s="218" t="e">
        <f>IF(C886="",NA(),IF(OR(C886="Smelter not listed",C886="Smelter not yet identified"),MATCH($B886&amp;$D886,'Smelter Look-up'!$J:$J,0),MATCH($B886&amp;$C886,'Smelter Look-up'!$J:$J,0)))</f>
        <v>#N/A</v>
      </c>
      <c r="X886" s="219">
        <f t="shared" ca="1" si="124"/>
        <v>0</v>
      </c>
      <c r="AB886" s="220" t="str">
        <f t="shared" si="125"/>
        <v/>
      </c>
    </row>
    <row r="887" spans="1:28" s="219" customFormat="1" ht="20.25">
      <c r="A887" s="174"/>
      <c r="B887" s="175" t="str">
        <f>IF(LEN(A887)=0,"",INDEX('Smelter Look-up'!$A:$A,MATCH($A887,'Smelter Look-up'!$E:$E,0)))</f>
        <v/>
      </c>
      <c r="C887" s="179" t="str">
        <f>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23"/>
        <v/>
      </c>
      <c r="T887" s="174" t="str">
        <f ca="1">IF(B887="","",IF(ISERROR(MATCH($J887,SorP!$B$1:$B$6279,0)),"",INDIRECT("'SorP'!$A$"&amp;MATCH($S887&amp;$J887,SorP!C:C,0))))</f>
        <v/>
      </c>
      <c r="U887" s="194"/>
      <c r="V887" s="218" t="e">
        <f>IF(C887="",NA(),IF(OR(C887="Smelter not listed",C887="Smelter not yet identified"),MATCH($B887&amp;$D887,'Smelter Look-up'!$J:$J,0),MATCH($B887&amp;$C887,'Smelter Look-up'!$J:$J,0)))</f>
        <v>#N/A</v>
      </c>
      <c r="X887" s="219">
        <f t="shared" ca="1" si="124"/>
        <v>0</v>
      </c>
      <c r="AB887" s="220" t="str">
        <f t="shared" si="125"/>
        <v/>
      </c>
    </row>
    <row r="888" spans="1:28" s="219" customFormat="1" ht="20.25">
      <c r="A888" s="174"/>
      <c r="B888" s="175" t="str">
        <f>IF(LEN(A888)=0,"",INDEX('Smelter Look-up'!$A:$A,MATCH($A888,'Smelter Look-up'!$E:$E,0)))</f>
        <v/>
      </c>
      <c r="C888" s="179" t="str">
        <f>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23"/>
        <v/>
      </c>
      <c r="T888" s="174" t="str">
        <f ca="1">IF(B888="","",IF(ISERROR(MATCH($J888,SorP!$B$1:$B$6279,0)),"",INDIRECT("'SorP'!$A$"&amp;MATCH($S888&amp;$J888,SorP!C:C,0))))</f>
        <v/>
      </c>
      <c r="U888" s="194"/>
      <c r="V888" s="218" t="e">
        <f>IF(C888="",NA(),IF(OR(C888="Smelter not listed",C888="Smelter not yet identified"),MATCH($B888&amp;$D888,'Smelter Look-up'!$J:$J,0),MATCH($B888&amp;$C888,'Smelter Look-up'!$J:$J,0)))</f>
        <v>#N/A</v>
      </c>
      <c r="X888" s="219">
        <f t="shared" ca="1" si="124"/>
        <v>0</v>
      </c>
      <c r="AB888" s="220" t="str">
        <f t="shared" si="125"/>
        <v/>
      </c>
    </row>
    <row r="889" spans="1:28" s="219" customFormat="1" ht="20.25">
      <c r="A889" s="174"/>
      <c r="B889" s="175" t="str">
        <f>IF(LEN(A889)=0,"",INDEX('Smelter Look-up'!$A:$A,MATCH($A889,'Smelter Look-up'!$E:$E,0)))</f>
        <v/>
      </c>
      <c r="C889" s="179" t="str">
        <f>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123"/>
        <v/>
      </c>
      <c r="T889" s="174" t="str">
        <f ca="1">IF(B889="","",IF(ISERROR(MATCH($J889,SorP!$B$1:$B$6279,0)),"",INDIRECT("'SorP'!$A$"&amp;MATCH($S889&amp;$J889,SorP!C:C,0))))</f>
        <v/>
      </c>
      <c r="U889" s="194"/>
      <c r="V889" s="218" t="e">
        <f>IF(C889="",NA(),IF(OR(C889="Smelter not listed",C889="Smelter not yet identified"),MATCH($B889&amp;$D889,'Smelter Look-up'!$J:$J,0),MATCH($B889&amp;$C889,'Smelter Look-up'!$J:$J,0)))</f>
        <v>#N/A</v>
      </c>
      <c r="X889" s="219">
        <f t="shared" ca="1" si="124"/>
        <v>0</v>
      </c>
      <c r="AB889" s="220" t="str">
        <f t="shared" si="125"/>
        <v/>
      </c>
    </row>
    <row r="890" spans="1:28" s="219" customFormat="1" ht="20.25">
      <c r="A890" s="174"/>
      <c r="B890" s="175" t="str">
        <f>IF(LEN(A890)=0,"",INDEX('Smelter Look-up'!$A:$A,MATCH($A890,'Smelter Look-up'!$E:$E,0)))</f>
        <v/>
      </c>
      <c r="C890" s="179" t="str">
        <f>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ca="1" si="123"/>
        <v/>
      </c>
      <c r="T890" s="174" t="str">
        <f ca="1">IF(B890="","",IF(ISERROR(MATCH($J890,SorP!$B$1:$B$6279,0)),"",INDIRECT("'SorP'!$A$"&amp;MATCH($S890&amp;$J890,SorP!C:C,0))))</f>
        <v/>
      </c>
      <c r="U890" s="194"/>
      <c r="V890" s="218" t="e">
        <f>IF(C890="",NA(),IF(OR(C890="Smelter not listed",C890="Smelter not yet identified"),MATCH($B890&amp;$D890,'Smelter Look-up'!$J:$J,0),MATCH($B890&amp;$C890,'Smelter Look-up'!$J:$J,0)))</f>
        <v>#N/A</v>
      </c>
      <c r="X890" s="219">
        <f t="shared" ca="1" si="124"/>
        <v>0</v>
      </c>
      <c r="AB890" s="220" t="str">
        <f t="shared" si="125"/>
        <v/>
      </c>
    </row>
    <row r="891" spans="1:28" s="219" customFormat="1" ht="20.25">
      <c r="A891" s="174"/>
      <c r="B891" s="175" t="str">
        <f>IF(LEN(A891)=0,"",INDEX('Smelter Look-up'!$A:$A,MATCH($A891,'Smelter Look-up'!$E:$E,0)))</f>
        <v/>
      </c>
      <c r="C891" s="179" t="str">
        <f>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ref="S891" ca="1" si="126">IF(B891="","",IF(ISERROR(MATCH($E891,CL,0)),"Unknown",INDIRECT("'C'!$A$"&amp;MATCH($E891,CL,0)+1)))</f>
        <v/>
      </c>
      <c r="T891" s="174" t="str">
        <f ca="1">IF(B891="","",IF(ISERROR(MATCH($J891,SorP!$B$1:$B$6279,0)),"",INDIRECT("'SorP'!$A$"&amp;MATCH($S891&amp;$J891,SorP!C:C,0))))</f>
        <v/>
      </c>
      <c r="U891" s="194"/>
      <c r="V891" s="218" t="e">
        <f>IF(C891="",NA(),IF(OR(C891="Smelter not listed",C891="Smelter not yet identified"),MATCH($B891&amp;$D891,'Smelter Look-up'!$J:$J,0),MATCH($B891&amp;$C891,'Smelter Look-up'!$J:$J,0)))</f>
        <v>#N/A</v>
      </c>
      <c r="X891" s="219">
        <f t="shared" ref="X891" ca="1" si="127">IF(AND(C891="Smelter not listed",OR(LEN(D891)=0,LEN(E891)=0)),1,0)</f>
        <v>0</v>
      </c>
      <c r="AB891" s="220" t="str">
        <f t="shared" ref="AB891" si="128">B891&amp;C891</f>
        <v/>
      </c>
    </row>
    <row r="892" spans="1:28" s="219" customFormat="1" ht="20.25">
      <c r="A892" s="174"/>
      <c r="B892" s="175" t="str">
        <f>IF(LEN(A892)=0,"",INDEX('Smelter Look-up'!$A:$A,MATCH($A892,'Smelter Look-up'!$E:$E,0)))</f>
        <v/>
      </c>
      <c r="C892" s="179" t="str">
        <f>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ref="S892:S923" ca="1" si="129">IF(B892="","",IF(ISERROR(MATCH($E892,CL,0)),"Unknown",INDIRECT("'C'!$A$"&amp;MATCH($E892,CL,0)+1)))</f>
        <v/>
      </c>
      <c r="T892" s="174" t="str">
        <f ca="1">IF(B892="","",IF(ISERROR(MATCH($J892,SorP!$B$1:$B$6279,0)),"",INDIRECT("'SorP'!$A$"&amp;MATCH($S892&amp;$J892,SorP!C:C,0))))</f>
        <v/>
      </c>
      <c r="U892" s="194"/>
      <c r="V892" s="218" t="e">
        <f>IF(C892="",NA(),IF(OR(C892="Smelter not listed",C892="Smelter not yet identified"),MATCH($B892&amp;$D892,'Smelter Look-up'!$J:$J,0),MATCH($B892&amp;$C892,'Smelter Look-up'!$J:$J,0)))</f>
        <v>#N/A</v>
      </c>
      <c r="X892" s="219">
        <f t="shared" ref="X892:X923" ca="1" si="130">IF(AND(C892="Smelter not listed",OR(LEN(D892)=0,LEN(E892)=0)),1,0)</f>
        <v>0</v>
      </c>
      <c r="AB892" s="220" t="str">
        <f t="shared" ref="AB892:AB923" si="131">B892&amp;C892</f>
        <v/>
      </c>
    </row>
    <row r="893" spans="1:28" s="219" customFormat="1" ht="20.25">
      <c r="A893" s="174"/>
      <c r="B893" s="175" t="str">
        <f>IF(LEN(A893)=0,"",INDEX('Smelter Look-up'!$A:$A,MATCH($A893,'Smelter Look-up'!$E:$E,0)))</f>
        <v/>
      </c>
      <c r="C893" s="179" t="str">
        <f>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29"/>
        <v/>
      </c>
      <c r="T893" s="174" t="str">
        <f ca="1">IF(B893="","",IF(ISERROR(MATCH($J893,SorP!$B$1:$B$6279,0)),"",INDIRECT("'SorP'!$A$"&amp;MATCH($S893&amp;$J893,SorP!C:C,0))))</f>
        <v/>
      </c>
      <c r="U893" s="194"/>
      <c r="V893" s="218" t="e">
        <f>IF(C893="",NA(),IF(OR(C893="Smelter not listed",C893="Smelter not yet identified"),MATCH($B893&amp;$D893,'Smelter Look-up'!$J:$J,0),MATCH($B893&amp;$C893,'Smelter Look-up'!$J:$J,0)))</f>
        <v>#N/A</v>
      </c>
      <c r="X893" s="219">
        <f t="shared" ca="1" si="130"/>
        <v>0</v>
      </c>
      <c r="AB893" s="220" t="str">
        <f t="shared" si="131"/>
        <v/>
      </c>
    </row>
    <row r="894" spans="1:28" s="219" customFormat="1" ht="20.25">
      <c r="A894" s="174"/>
      <c r="B894" s="175" t="str">
        <f>IF(LEN(A894)=0,"",INDEX('Smelter Look-up'!$A:$A,MATCH($A894,'Smelter Look-up'!$E:$E,0)))</f>
        <v/>
      </c>
      <c r="C894" s="179" t="str">
        <f>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29"/>
        <v/>
      </c>
      <c r="T894" s="174" t="str">
        <f ca="1">IF(B894="","",IF(ISERROR(MATCH($J894,SorP!$B$1:$B$6279,0)),"",INDIRECT("'SorP'!$A$"&amp;MATCH($S894&amp;$J894,SorP!C:C,0))))</f>
        <v/>
      </c>
      <c r="U894" s="194"/>
      <c r="V894" s="218" t="e">
        <f>IF(C894="",NA(),IF(OR(C894="Smelter not listed",C894="Smelter not yet identified"),MATCH($B894&amp;$D894,'Smelter Look-up'!$J:$J,0),MATCH($B894&amp;$C894,'Smelter Look-up'!$J:$J,0)))</f>
        <v>#N/A</v>
      </c>
      <c r="X894" s="219">
        <f t="shared" ca="1" si="130"/>
        <v>0</v>
      </c>
      <c r="AB894" s="220" t="str">
        <f t="shared" si="131"/>
        <v/>
      </c>
    </row>
    <row r="895" spans="1:28" s="219" customFormat="1" ht="20.25">
      <c r="A895" s="174"/>
      <c r="B895" s="175" t="str">
        <f>IF(LEN(A895)=0,"",INDEX('Smelter Look-up'!$A:$A,MATCH($A895,'Smelter Look-up'!$E:$E,0)))</f>
        <v/>
      </c>
      <c r="C895" s="179" t="str">
        <f>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29"/>
        <v/>
      </c>
      <c r="T895" s="174" t="str">
        <f ca="1">IF(B895="","",IF(ISERROR(MATCH($J895,SorP!$B$1:$B$6279,0)),"",INDIRECT("'SorP'!$A$"&amp;MATCH($S895&amp;$J895,SorP!C:C,0))))</f>
        <v/>
      </c>
      <c r="U895" s="194"/>
      <c r="V895" s="218" t="e">
        <f>IF(C895="",NA(),IF(OR(C895="Smelter not listed",C895="Smelter not yet identified"),MATCH($B895&amp;$D895,'Smelter Look-up'!$J:$J,0),MATCH($B895&amp;$C895,'Smelter Look-up'!$J:$J,0)))</f>
        <v>#N/A</v>
      </c>
      <c r="X895" s="219">
        <f t="shared" ca="1" si="130"/>
        <v>0</v>
      </c>
      <c r="AB895" s="220" t="str">
        <f t="shared" si="131"/>
        <v/>
      </c>
    </row>
    <row r="896" spans="1:28" s="219" customFormat="1" ht="20.25">
      <c r="A896" s="174"/>
      <c r="B896" s="175" t="str">
        <f>IF(LEN(A896)=0,"",INDEX('Smelter Look-up'!$A:$A,MATCH($A896,'Smelter Look-up'!$E:$E,0)))</f>
        <v/>
      </c>
      <c r="C896" s="179" t="str">
        <f>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29"/>
        <v/>
      </c>
      <c r="T896" s="174" t="str">
        <f ca="1">IF(B896="","",IF(ISERROR(MATCH($J896,SorP!$B$1:$B$6279,0)),"",INDIRECT("'SorP'!$A$"&amp;MATCH($S896&amp;$J896,SorP!C:C,0))))</f>
        <v/>
      </c>
      <c r="U896" s="194"/>
      <c r="V896" s="218" t="e">
        <f>IF(C896="",NA(),IF(OR(C896="Smelter not listed",C896="Smelter not yet identified"),MATCH($B896&amp;$D896,'Smelter Look-up'!$J:$J,0),MATCH($B896&amp;$C896,'Smelter Look-up'!$J:$J,0)))</f>
        <v>#N/A</v>
      </c>
      <c r="X896" s="219">
        <f t="shared" ca="1" si="130"/>
        <v>0</v>
      </c>
      <c r="AB896" s="220" t="str">
        <f t="shared" si="131"/>
        <v/>
      </c>
    </row>
    <row r="897" spans="1:28" s="219" customFormat="1" ht="20.25">
      <c r="A897" s="174"/>
      <c r="B897" s="175" t="str">
        <f>IF(LEN(A897)=0,"",INDEX('Smelter Look-up'!$A:$A,MATCH($A897,'Smelter Look-up'!$E:$E,0)))</f>
        <v/>
      </c>
      <c r="C897" s="179" t="str">
        <f>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29"/>
        <v/>
      </c>
      <c r="T897" s="174" t="str">
        <f ca="1">IF(B897="","",IF(ISERROR(MATCH($J897,SorP!$B$1:$B$6279,0)),"",INDIRECT("'SorP'!$A$"&amp;MATCH($S897&amp;$J897,SorP!C:C,0))))</f>
        <v/>
      </c>
      <c r="U897" s="194"/>
      <c r="V897" s="218" t="e">
        <f>IF(C897="",NA(),IF(OR(C897="Smelter not listed",C897="Smelter not yet identified"),MATCH($B897&amp;$D897,'Smelter Look-up'!$J:$J,0),MATCH($B897&amp;$C897,'Smelter Look-up'!$J:$J,0)))</f>
        <v>#N/A</v>
      </c>
      <c r="X897" s="219">
        <f t="shared" ca="1" si="130"/>
        <v>0</v>
      </c>
      <c r="AB897" s="220" t="str">
        <f t="shared" si="131"/>
        <v/>
      </c>
    </row>
    <row r="898" spans="1:28" s="219" customFormat="1" ht="20.25">
      <c r="A898" s="174"/>
      <c r="B898" s="175" t="str">
        <f>IF(LEN(A898)=0,"",INDEX('Smelter Look-up'!$A:$A,MATCH($A898,'Smelter Look-up'!$E:$E,0)))</f>
        <v/>
      </c>
      <c r="C898" s="179" t="str">
        <f>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29"/>
        <v/>
      </c>
      <c r="T898" s="174" t="str">
        <f ca="1">IF(B898="","",IF(ISERROR(MATCH($J898,SorP!$B$1:$B$6279,0)),"",INDIRECT("'SorP'!$A$"&amp;MATCH($S898&amp;$J898,SorP!C:C,0))))</f>
        <v/>
      </c>
      <c r="U898" s="194"/>
      <c r="V898" s="218" t="e">
        <f>IF(C898="",NA(),IF(OR(C898="Smelter not listed",C898="Smelter not yet identified"),MATCH($B898&amp;$D898,'Smelter Look-up'!$J:$J,0),MATCH($B898&amp;$C898,'Smelter Look-up'!$J:$J,0)))</f>
        <v>#N/A</v>
      </c>
      <c r="X898" s="219">
        <f t="shared" ca="1" si="130"/>
        <v>0</v>
      </c>
      <c r="AB898" s="220" t="str">
        <f t="shared" si="131"/>
        <v/>
      </c>
    </row>
    <row r="899" spans="1:28" s="219" customFormat="1" ht="20.25">
      <c r="A899" s="174"/>
      <c r="B899" s="175" t="str">
        <f>IF(LEN(A899)=0,"",INDEX('Smelter Look-up'!$A:$A,MATCH($A899,'Smelter Look-up'!$E:$E,0)))</f>
        <v/>
      </c>
      <c r="C899" s="179" t="str">
        <f>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29"/>
        <v/>
      </c>
      <c r="T899" s="174" t="str">
        <f ca="1">IF(B899="","",IF(ISERROR(MATCH($J899,SorP!$B$1:$B$6279,0)),"",INDIRECT("'SorP'!$A$"&amp;MATCH($S899&amp;$J899,SorP!C:C,0))))</f>
        <v/>
      </c>
      <c r="U899" s="194"/>
      <c r="V899" s="218" t="e">
        <f>IF(C899="",NA(),IF(OR(C899="Smelter not listed",C899="Smelter not yet identified"),MATCH($B899&amp;$D899,'Smelter Look-up'!$J:$J,0),MATCH($B899&amp;$C899,'Smelter Look-up'!$J:$J,0)))</f>
        <v>#N/A</v>
      </c>
      <c r="X899" s="219">
        <f t="shared" ca="1" si="130"/>
        <v>0</v>
      </c>
      <c r="AB899" s="220" t="str">
        <f t="shared" si="131"/>
        <v/>
      </c>
    </row>
    <row r="900" spans="1:28" s="219" customFormat="1" ht="20.25">
      <c r="A900" s="174"/>
      <c r="B900" s="175" t="str">
        <f>IF(LEN(A900)=0,"",INDEX('Smelter Look-up'!$A:$A,MATCH($A900,'Smelter Look-up'!$E:$E,0)))</f>
        <v/>
      </c>
      <c r="C900" s="179" t="str">
        <f>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29"/>
        <v/>
      </c>
      <c r="T900" s="174" t="str">
        <f ca="1">IF(B900="","",IF(ISERROR(MATCH($J900,SorP!$B$1:$B$6279,0)),"",INDIRECT("'SorP'!$A$"&amp;MATCH($S900&amp;$J900,SorP!C:C,0))))</f>
        <v/>
      </c>
      <c r="U900" s="194"/>
      <c r="V900" s="218" t="e">
        <f>IF(C900="",NA(),IF(OR(C900="Smelter not listed",C900="Smelter not yet identified"),MATCH($B900&amp;$D900,'Smelter Look-up'!$J:$J,0),MATCH($B900&amp;$C900,'Smelter Look-up'!$J:$J,0)))</f>
        <v>#N/A</v>
      </c>
      <c r="X900" s="219">
        <f t="shared" ca="1" si="130"/>
        <v>0</v>
      </c>
      <c r="AB900" s="220" t="str">
        <f t="shared" si="131"/>
        <v/>
      </c>
    </row>
    <row r="901" spans="1:28" s="219" customFormat="1" ht="20.25">
      <c r="A901" s="174"/>
      <c r="B901" s="175" t="str">
        <f>IF(LEN(A901)=0,"",INDEX('Smelter Look-up'!$A:$A,MATCH($A901,'Smelter Look-up'!$E:$E,0)))</f>
        <v/>
      </c>
      <c r="C901" s="179" t="str">
        <f>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29"/>
        <v/>
      </c>
      <c r="T901" s="174" t="str">
        <f ca="1">IF(B901="","",IF(ISERROR(MATCH($J901,SorP!$B$1:$B$6279,0)),"",INDIRECT("'SorP'!$A$"&amp;MATCH($S901&amp;$J901,SorP!C:C,0))))</f>
        <v/>
      </c>
      <c r="U901" s="194"/>
      <c r="V901" s="218" t="e">
        <f>IF(C901="",NA(),IF(OR(C901="Smelter not listed",C901="Smelter not yet identified"),MATCH($B901&amp;$D901,'Smelter Look-up'!$J:$J,0),MATCH($B901&amp;$C901,'Smelter Look-up'!$J:$J,0)))</f>
        <v>#N/A</v>
      </c>
      <c r="X901" s="219">
        <f t="shared" ca="1" si="130"/>
        <v>0</v>
      </c>
      <c r="AB901" s="220" t="str">
        <f t="shared" si="131"/>
        <v/>
      </c>
    </row>
    <row r="902" spans="1:28" s="219" customFormat="1" ht="20.25">
      <c r="A902" s="174"/>
      <c r="B902" s="175" t="str">
        <f>IF(LEN(A902)=0,"",INDEX('Smelter Look-up'!$A:$A,MATCH($A902,'Smelter Look-up'!$E:$E,0)))</f>
        <v/>
      </c>
      <c r="C902" s="179" t="str">
        <f>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29"/>
        <v/>
      </c>
      <c r="T902" s="174" t="str">
        <f ca="1">IF(B902="","",IF(ISERROR(MATCH($J902,SorP!$B$1:$B$6279,0)),"",INDIRECT("'SorP'!$A$"&amp;MATCH($S902&amp;$J902,SorP!C:C,0))))</f>
        <v/>
      </c>
      <c r="U902" s="194"/>
      <c r="V902" s="218" t="e">
        <f>IF(C902="",NA(),IF(OR(C902="Smelter not listed",C902="Smelter not yet identified"),MATCH($B902&amp;$D902,'Smelter Look-up'!$J:$J,0),MATCH($B902&amp;$C902,'Smelter Look-up'!$J:$J,0)))</f>
        <v>#N/A</v>
      </c>
      <c r="X902" s="219">
        <f t="shared" ca="1" si="130"/>
        <v>0</v>
      </c>
      <c r="AB902" s="220" t="str">
        <f t="shared" si="131"/>
        <v/>
      </c>
    </row>
    <row r="903" spans="1:28" s="219" customFormat="1" ht="20.25">
      <c r="A903" s="174"/>
      <c r="B903" s="175" t="str">
        <f>IF(LEN(A903)=0,"",INDEX('Smelter Look-up'!$A:$A,MATCH($A903,'Smelter Look-up'!$E:$E,0)))</f>
        <v/>
      </c>
      <c r="C903" s="179" t="str">
        <f>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29"/>
        <v/>
      </c>
      <c r="T903" s="174" t="str">
        <f ca="1">IF(B903="","",IF(ISERROR(MATCH($J903,SorP!$B$1:$B$6279,0)),"",INDIRECT("'SorP'!$A$"&amp;MATCH($S903&amp;$J903,SorP!C:C,0))))</f>
        <v/>
      </c>
      <c r="U903" s="194"/>
      <c r="V903" s="218" t="e">
        <f>IF(C903="",NA(),IF(OR(C903="Smelter not listed",C903="Smelter not yet identified"),MATCH($B903&amp;$D903,'Smelter Look-up'!$J:$J,0),MATCH($B903&amp;$C903,'Smelter Look-up'!$J:$J,0)))</f>
        <v>#N/A</v>
      </c>
      <c r="X903" s="219">
        <f t="shared" ca="1" si="130"/>
        <v>0</v>
      </c>
      <c r="AB903" s="220" t="str">
        <f t="shared" si="131"/>
        <v/>
      </c>
    </row>
    <row r="904" spans="1:28" s="219" customFormat="1" ht="20.25">
      <c r="A904" s="174"/>
      <c r="B904" s="175" t="str">
        <f>IF(LEN(A904)=0,"",INDEX('Smelter Look-up'!$A:$A,MATCH($A904,'Smelter Look-up'!$E:$E,0)))</f>
        <v/>
      </c>
      <c r="C904" s="179" t="str">
        <f>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29"/>
        <v/>
      </c>
      <c r="T904" s="174" t="str">
        <f ca="1">IF(B904="","",IF(ISERROR(MATCH($J904,SorP!$B$1:$B$6279,0)),"",INDIRECT("'SorP'!$A$"&amp;MATCH($S904&amp;$J904,SorP!C:C,0))))</f>
        <v/>
      </c>
      <c r="U904" s="194"/>
      <c r="V904" s="218" t="e">
        <f>IF(C904="",NA(),IF(OR(C904="Smelter not listed",C904="Smelter not yet identified"),MATCH($B904&amp;$D904,'Smelter Look-up'!$J:$J,0),MATCH($B904&amp;$C904,'Smelter Look-up'!$J:$J,0)))</f>
        <v>#N/A</v>
      </c>
      <c r="X904" s="219">
        <f t="shared" ca="1" si="130"/>
        <v>0</v>
      </c>
      <c r="AB904" s="220" t="str">
        <f t="shared" si="131"/>
        <v/>
      </c>
    </row>
    <row r="905" spans="1:28" s="219" customFormat="1" ht="20.25">
      <c r="A905" s="174"/>
      <c r="B905" s="175" t="str">
        <f>IF(LEN(A905)=0,"",INDEX('Smelter Look-up'!$A:$A,MATCH($A905,'Smelter Look-up'!$E:$E,0)))</f>
        <v/>
      </c>
      <c r="C905" s="179" t="str">
        <f>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29"/>
        <v/>
      </c>
      <c r="T905" s="174" t="str">
        <f ca="1">IF(B905="","",IF(ISERROR(MATCH($J905,SorP!$B$1:$B$6279,0)),"",INDIRECT("'SorP'!$A$"&amp;MATCH($S905&amp;$J905,SorP!C:C,0))))</f>
        <v/>
      </c>
      <c r="U905" s="194"/>
      <c r="V905" s="218" t="e">
        <f>IF(C905="",NA(),IF(OR(C905="Smelter not listed",C905="Smelter not yet identified"),MATCH($B905&amp;$D905,'Smelter Look-up'!$J:$J,0),MATCH($B905&amp;$C905,'Smelter Look-up'!$J:$J,0)))</f>
        <v>#N/A</v>
      </c>
      <c r="X905" s="219">
        <f t="shared" ca="1" si="130"/>
        <v>0</v>
      </c>
      <c r="AB905" s="220" t="str">
        <f t="shared" si="131"/>
        <v/>
      </c>
    </row>
    <row r="906" spans="1:28" s="219" customFormat="1" ht="20.25">
      <c r="A906" s="174"/>
      <c r="B906" s="175" t="str">
        <f>IF(LEN(A906)=0,"",INDEX('Smelter Look-up'!$A:$A,MATCH($A906,'Smelter Look-up'!$E:$E,0)))</f>
        <v/>
      </c>
      <c r="C906" s="179" t="str">
        <f>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29"/>
        <v/>
      </c>
      <c r="T906" s="174" t="str">
        <f ca="1">IF(B906="","",IF(ISERROR(MATCH($J906,SorP!$B$1:$B$6279,0)),"",INDIRECT("'SorP'!$A$"&amp;MATCH($S906&amp;$J906,SorP!C:C,0))))</f>
        <v/>
      </c>
      <c r="U906" s="194"/>
      <c r="V906" s="218" t="e">
        <f>IF(C906="",NA(),IF(OR(C906="Smelter not listed",C906="Smelter not yet identified"),MATCH($B906&amp;$D906,'Smelter Look-up'!$J:$J,0),MATCH($B906&amp;$C906,'Smelter Look-up'!$J:$J,0)))</f>
        <v>#N/A</v>
      </c>
      <c r="X906" s="219">
        <f t="shared" ca="1" si="130"/>
        <v>0</v>
      </c>
      <c r="AB906" s="220" t="str">
        <f t="shared" si="131"/>
        <v/>
      </c>
    </row>
    <row r="907" spans="1:28" s="219" customFormat="1" ht="20.25">
      <c r="A907" s="174"/>
      <c r="B907" s="175" t="str">
        <f>IF(LEN(A907)=0,"",INDEX('Smelter Look-up'!$A:$A,MATCH($A907,'Smelter Look-up'!$E:$E,0)))</f>
        <v/>
      </c>
      <c r="C907" s="179" t="str">
        <f>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29"/>
        <v/>
      </c>
      <c r="T907" s="174" t="str">
        <f ca="1">IF(B907="","",IF(ISERROR(MATCH($J907,SorP!$B$1:$B$6279,0)),"",INDIRECT("'SorP'!$A$"&amp;MATCH($S907&amp;$J907,SorP!C:C,0))))</f>
        <v/>
      </c>
      <c r="U907" s="194"/>
      <c r="V907" s="218" t="e">
        <f>IF(C907="",NA(),IF(OR(C907="Smelter not listed",C907="Smelter not yet identified"),MATCH($B907&amp;$D907,'Smelter Look-up'!$J:$J,0),MATCH($B907&amp;$C907,'Smelter Look-up'!$J:$J,0)))</f>
        <v>#N/A</v>
      </c>
      <c r="X907" s="219">
        <f t="shared" ca="1" si="130"/>
        <v>0</v>
      </c>
      <c r="AB907" s="220" t="str">
        <f t="shared" si="131"/>
        <v/>
      </c>
    </row>
    <row r="908" spans="1:28" s="219" customFormat="1" ht="20.25">
      <c r="A908" s="174"/>
      <c r="B908" s="175" t="str">
        <f>IF(LEN(A908)=0,"",INDEX('Smelter Look-up'!$A:$A,MATCH($A908,'Smelter Look-up'!$E:$E,0)))</f>
        <v/>
      </c>
      <c r="C908" s="179" t="str">
        <f>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29"/>
        <v/>
      </c>
      <c r="T908" s="174" t="str">
        <f ca="1">IF(B908="","",IF(ISERROR(MATCH($J908,SorP!$B$1:$B$6279,0)),"",INDIRECT("'SorP'!$A$"&amp;MATCH($S908&amp;$J908,SorP!C:C,0))))</f>
        <v/>
      </c>
      <c r="U908" s="194"/>
      <c r="V908" s="218" t="e">
        <f>IF(C908="",NA(),IF(OR(C908="Smelter not listed",C908="Smelter not yet identified"),MATCH($B908&amp;$D908,'Smelter Look-up'!$J:$J,0),MATCH($B908&amp;$C908,'Smelter Look-up'!$J:$J,0)))</f>
        <v>#N/A</v>
      </c>
      <c r="X908" s="219">
        <f t="shared" ca="1" si="130"/>
        <v>0</v>
      </c>
      <c r="AB908" s="220" t="str">
        <f t="shared" si="131"/>
        <v/>
      </c>
    </row>
    <row r="909" spans="1:28" s="219" customFormat="1" ht="20.25">
      <c r="A909" s="174"/>
      <c r="B909" s="175" t="str">
        <f>IF(LEN(A909)=0,"",INDEX('Smelter Look-up'!$A:$A,MATCH($A909,'Smelter Look-up'!$E:$E,0)))</f>
        <v/>
      </c>
      <c r="C909" s="179" t="str">
        <f>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29"/>
        <v/>
      </c>
      <c r="T909" s="174" t="str">
        <f ca="1">IF(B909="","",IF(ISERROR(MATCH($J909,SorP!$B$1:$B$6279,0)),"",INDIRECT("'SorP'!$A$"&amp;MATCH($S909&amp;$J909,SorP!C:C,0))))</f>
        <v/>
      </c>
      <c r="U909" s="194"/>
      <c r="V909" s="218" t="e">
        <f>IF(C909="",NA(),IF(OR(C909="Smelter not listed",C909="Smelter not yet identified"),MATCH($B909&amp;$D909,'Smelter Look-up'!$J:$J,0),MATCH($B909&amp;$C909,'Smelter Look-up'!$J:$J,0)))</f>
        <v>#N/A</v>
      </c>
      <c r="X909" s="219">
        <f t="shared" ca="1" si="130"/>
        <v>0</v>
      </c>
      <c r="AB909" s="220" t="str">
        <f t="shared" si="131"/>
        <v/>
      </c>
    </row>
    <row r="910" spans="1:28" s="219" customFormat="1" ht="20.25">
      <c r="A910" s="174"/>
      <c r="B910" s="175" t="str">
        <f>IF(LEN(A910)=0,"",INDEX('Smelter Look-up'!$A:$A,MATCH($A910,'Smelter Look-up'!$E:$E,0)))</f>
        <v/>
      </c>
      <c r="C910" s="179" t="str">
        <f>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29"/>
        <v/>
      </c>
      <c r="T910" s="174" t="str">
        <f ca="1">IF(B910="","",IF(ISERROR(MATCH($J910,SorP!$B$1:$B$6279,0)),"",INDIRECT("'SorP'!$A$"&amp;MATCH($S910&amp;$J910,SorP!C:C,0))))</f>
        <v/>
      </c>
      <c r="U910" s="194"/>
      <c r="V910" s="218" t="e">
        <f>IF(C910="",NA(),IF(OR(C910="Smelter not listed",C910="Smelter not yet identified"),MATCH($B910&amp;$D910,'Smelter Look-up'!$J:$J,0),MATCH($B910&amp;$C910,'Smelter Look-up'!$J:$J,0)))</f>
        <v>#N/A</v>
      </c>
      <c r="X910" s="219">
        <f t="shared" ca="1" si="130"/>
        <v>0</v>
      </c>
      <c r="AB910" s="220" t="str">
        <f t="shared" si="131"/>
        <v/>
      </c>
    </row>
    <row r="911" spans="1:28" s="219" customFormat="1" ht="20.25">
      <c r="A911" s="174"/>
      <c r="B911" s="175" t="str">
        <f>IF(LEN(A911)=0,"",INDEX('Smelter Look-up'!$A:$A,MATCH($A911,'Smelter Look-up'!$E:$E,0)))</f>
        <v/>
      </c>
      <c r="C911" s="179" t="str">
        <f>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29"/>
        <v/>
      </c>
      <c r="T911" s="174" t="str">
        <f ca="1">IF(B911="","",IF(ISERROR(MATCH($J911,SorP!$B$1:$B$6279,0)),"",INDIRECT("'SorP'!$A$"&amp;MATCH($S911&amp;$J911,SorP!C:C,0))))</f>
        <v/>
      </c>
      <c r="U911" s="194"/>
      <c r="V911" s="218" t="e">
        <f>IF(C911="",NA(),IF(OR(C911="Smelter not listed",C911="Smelter not yet identified"),MATCH($B911&amp;$D911,'Smelter Look-up'!$J:$J,0),MATCH($B911&amp;$C911,'Smelter Look-up'!$J:$J,0)))</f>
        <v>#N/A</v>
      </c>
      <c r="X911" s="219">
        <f t="shared" ca="1" si="130"/>
        <v>0</v>
      </c>
      <c r="AB911" s="220" t="str">
        <f t="shared" si="131"/>
        <v/>
      </c>
    </row>
    <row r="912" spans="1:28" s="219" customFormat="1" ht="20.25">
      <c r="A912" s="174"/>
      <c r="B912" s="175" t="str">
        <f>IF(LEN(A912)=0,"",INDEX('Smelter Look-up'!$A:$A,MATCH($A912,'Smelter Look-up'!$E:$E,0)))</f>
        <v/>
      </c>
      <c r="C912" s="179" t="str">
        <f>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29"/>
        <v/>
      </c>
      <c r="T912" s="174" t="str">
        <f ca="1">IF(B912="","",IF(ISERROR(MATCH($J912,SorP!$B$1:$B$6279,0)),"",INDIRECT("'SorP'!$A$"&amp;MATCH($S912&amp;$J912,SorP!C:C,0))))</f>
        <v/>
      </c>
      <c r="U912" s="194"/>
      <c r="V912" s="218" t="e">
        <f>IF(C912="",NA(),IF(OR(C912="Smelter not listed",C912="Smelter not yet identified"),MATCH($B912&amp;$D912,'Smelter Look-up'!$J:$J,0),MATCH($B912&amp;$C912,'Smelter Look-up'!$J:$J,0)))</f>
        <v>#N/A</v>
      </c>
      <c r="X912" s="219">
        <f t="shared" ca="1" si="130"/>
        <v>0</v>
      </c>
      <c r="AB912" s="220" t="str">
        <f t="shared" si="131"/>
        <v/>
      </c>
    </row>
    <row r="913" spans="1:28" s="219" customFormat="1" ht="20.25">
      <c r="A913" s="174"/>
      <c r="B913" s="175" t="str">
        <f>IF(LEN(A913)=0,"",INDEX('Smelter Look-up'!$A:$A,MATCH($A913,'Smelter Look-up'!$E:$E,0)))</f>
        <v/>
      </c>
      <c r="C913" s="179" t="str">
        <f>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29"/>
        <v/>
      </c>
      <c r="T913" s="174" t="str">
        <f ca="1">IF(B913="","",IF(ISERROR(MATCH($J913,SorP!$B$1:$B$6279,0)),"",INDIRECT("'SorP'!$A$"&amp;MATCH($S913&amp;$J913,SorP!C:C,0))))</f>
        <v/>
      </c>
      <c r="U913" s="194"/>
      <c r="V913" s="218" t="e">
        <f>IF(C913="",NA(),IF(OR(C913="Smelter not listed",C913="Smelter not yet identified"),MATCH($B913&amp;$D913,'Smelter Look-up'!$J:$J,0),MATCH($B913&amp;$C913,'Smelter Look-up'!$J:$J,0)))</f>
        <v>#N/A</v>
      </c>
      <c r="X913" s="219">
        <f t="shared" ca="1" si="130"/>
        <v>0</v>
      </c>
      <c r="AB913" s="220" t="str">
        <f t="shared" si="131"/>
        <v/>
      </c>
    </row>
    <row r="914" spans="1:28" s="219" customFormat="1" ht="20.25">
      <c r="A914" s="174"/>
      <c r="B914" s="175" t="str">
        <f>IF(LEN(A914)=0,"",INDEX('Smelter Look-up'!$A:$A,MATCH($A914,'Smelter Look-up'!$E:$E,0)))</f>
        <v/>
      </c>
      <c r="C914" s="179" t="str">
        <f>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129"/>
        <v/>
      </c>
      <c r="T914" s="174" t="str">
        <f ca="1">IF(B914="","",IF(ISERROR(MATCH($J914,SorP!$B$1:$B$6279,0)),"",INDIRECT("'SorP'!$A$"&amp;MATCH($S914&amp;$J914,SorP!C:C,0))))</f>
        <v/>
      </c>
      <c r="U914" s="194"/>
      <c r="V914" s="218" t="e">
        <f>IF(C914="",NA(),IF(OR(C914="Smelter not listed",C914="Smelter not yet identified"),MATCH($B914&amp;$D914,'Smelter Look-up'!$J:$J,0),MATCH($B914&amp;$C914,'Smelter Look-up'!$J:$J,0)))</f>
        <v>#N/A</v>
      </c>
      <c r="X914" s="219">
        <f t="shared" ca="1" si="130"/>
        <v>0</v>
      </c>
      <c r="AB914" s="220" t="str">
        <f t="shared" si="131"/>
        <v/>
      </c>
    </row>
    <row r="915" spans="1:28" s="219" customFormat="1" ht="20.25">
      <c r="A915" s="174"/>
      <c r="B915" s="175" t="str">
        <f>IF(LEN(A915)=0,"",INDEX('Smelter Look-up'!$A:$A,MATCH($A915,'Smelter Look-up'!$E:$E,0)))</f>
        <v/>
      </c>
      <c r="C915" s="179" t="str">
        <f>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129"/>
        <v/>
      </c>
      <c r="T915" s="174" t="str">
        <f ca="1">IF(B915="","",IF(ISERROR(MATCH($J915,SorP!$B$1:$B$6279,0)),"",INDIRECT("'SorP'!$A$"&amp;MATCH($S915&amp;$J915,SorP!C:C,0))))</f>
        <v/>
      </c>
      <c r="U915" s="194"/>
      <c r="V915" s="218" t="e">
        <f>IF(C915="",NA(),IF(OR(C915="Smelter not listed",C915="Smelter not yet identified"),MATCH($B915&amp;$D915,'Smelter Look-up'!$J:$J,0),MATCH($B915&amp;$C915,'Smelter Look-up'!$J:$J,0)))</f>
        <v>#N/A</v>
      </c>
      <c r="X915" s="219">
        <f t="shared" ca="1" si="130"/>
        <v>0</v>
      </c>
      <c r="AB915" s="220" t="str">
        <f t="shared" si="131"/>
        <v/>
      </c>
    </row>
    <row r="916" spans="1:28" s="219" customFormat="1" ht="20.25">
      <c r="A916" s="174"/>
      <c r="B916" s="175" t="str">
        <f>IF(LEN(A916)=0,"",INDEX('Smelter Look-up'!$A:$A,MATCH($A916,'Smelter Look-up'!$E:$E,0)))</f>
        <v/>
      </c>
      <c r="C916" s="179" t="str">
        <f>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29"/>
        <v/>
      </c>
      <c r="T916" s="174" t="str">
        <f ca="1">IF(B916="","",IF(ISERROR(MATCH($J916,SorP!$B$1:$B$6279,0)),"",INDIRECT("'SorP'!$A$"&amp;MATCH($S916&amp;$J916,SorP!C:C,0))))</f>
        <v/>
      </c>
      <c r="U916" s="194"/>
      <c r="V916" s="218" t="e">
        <f>IF(C916="",NA(),IF(OR(C916="Smelter not listed",C916="Smelter not yet identified"),MATCH($B916&amp;$D916,'Smelter Look-up'!$J:$J,0),MATCH($B916&amp;$C916,'Smelter Look-up'!$J:$J,0)))</f>
        <v>#N/A</v>
      </c>
      <c r="X916" s="219">
        <f t="shared" ca="1" si="130"/>
        <v>0</v>
      </c>
      <c r="AB916" s="220" t="str">
        <f t="shared" si="131"/>
        <v/>
      </c>
    </row>
    <row r="917" spans="1:28" s="219" customFormat="1" ht="20.25">
      <c r="A917" s="174"/>
      <c r="B917" s="175" t="str">
        <f>IF(LEN(A917)=0,"",INDEX('Smelter Look-up'!$A:$A,MATCH($A917,'Smelter Look-up'!$E:$E,0)))</f>
        <v/>
      </c>
      <c r="C917" s="179" t="str">
        <f>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29"/>
        <v/>
      </c>
      <c r="T917" s="174" t="str">
        <f ca="1">IF(B917="","",IF(ISERROR(MATCH($J917,SorP!$B$1:$B$6279,0)),"",INDIRECT("'SorP'!$A$"&amp;MATCH($S917&amp;$J917,SorP!C:C,0))))</f>
        <v/>
      </c>
      <c r="U917" s="194"/>
      <c r="V917" s="218" t="e">
        <f>IF(C917="",NA(),IF(OR(C917="Smelter not listed",C917="Smelter not yet identified"),MATCH($B917&amp;$D917,'Smelter Look-up'!$J:$J,0),MATCH($B917&amp;$C917,'Smelter Look-up'!$J:$J,0)))</f>
        <v>#N/A</v>
      </c>
      <c r="X917" s="219">
        <f t="shared" ca="1" si="130"/>
        <v>0</v>
      </c>
      <c r="AB917" s="220" t="str">
        <f t="shared" si="131"/>
        <v/>
      </c>
    </row>
    <row r="918" spans="1:28" s="219" customFormat="1" ht="20.25">
      <c r="A918" s="174"/>
      <c r="B918" s="175" t="str">
        <f>IF(LEN(A918)=0,"",INDEX('Smelter Look-up'!$A:$A,MATCH($A918,'Smelter Look-up'!$E:$E,0)))</f>
        <v/>
      </c>
      <c r="C918" s="179" t="str">
        <f>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29"/>
        <v/>
      </c>
      <c r="T918" s="174" t="str">
        <f ca="1">IF(B918="","",IF(ISERROR(MATCH($J918,SorP!$B$1:$B$6279,0)),"",INDIRECT("'SorP'!$A$"&amp;MATCH($S918&amp;$J918,SorP!C:C,0))))</f>
        <v/>
      </c>
      <c r="U918" s="194"/>
      <c r="V918" s="218" t="e">
        <f>IF(C918="",NA(),IF(OR(C918="Smelter not listed",C918="Smelter not yet identified"),MATCH($B918&amp;$D918,'Smelter Look-up'!$J:$J,0),MATCH($B918&amp;$C918,'Smelter Look-up'!$J:$J,0)))</f>
        <v>#N/A</v>
      </c>
      <c r="X918" s="219">
        <f t="shared" ca="1" si="130"/>
        <v>0</v>
      </c>
      <c r="AB918" s="220" t="str">
        <f t="shared" si="131"/>
        <v/>
      </c>
    </row>
    <row r="919" spans="1:28" s="219" customFormat="1" ht="20.25">
      <c r="A919" s="174"/>
      <c r="B919" s="175" t="str">
        <f>IF(LEN(A919)=0,"",INDEX('Smelter Look-up'!$A:$A,MATCH($A919,'Smelter Look-up'!$E:$E,0)))</f>
        <v/>
      </c>
      <c r="C919" s="179" t="str">
        <f>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29"/>
        <v/>
      </c>
      <c r="T919" s="174" t="str">
        <f ca="1">IF(B919="","",IF(ISERROR(MATCH($J919,SorP!$B$1:$B$6279,0)),"",INDIRECT("'SorP'!$A$"&amp;MATCH($S919&amp;$J919,SorP!C:C,0))))</f>
        <v/>
      </c>
      <c r="U919" s="194"/>
      <c r="V919" s="218" t="e">
        <f>IF(C919="",NA(),IF(OR(C919="Smelter not listed",C919="Smelter not yet identified"),MATCH($B919&amp;$D919,'Smelter Look-up'!$J:$J,0),MATCH($B919&amp;$C919,'Smelter Look-up'!$J:$J,0)))</f>
        <v>#N/A</v>
      </c>
      <c r="X919" s="219">
        <f t="shared" ca="1" si="130"/>
        <v>0</v>
      </c>
      <c r="AB919" s="220" t="str">
        <f t="shared" si="131"/>
        <v/>
      </c>
    </row>
    <row r="920" spans="1:28" s="219" customFormat="1" ht="20.25">
      <c r="A920" s="174"/>
      <c r="B920" s="175" t="str">
        <f>IF(LEN(A920)=0,"",INDEX('Smelter Look-up'!$A:$A,MATCH($A920,'Smelter Look-up'!$E:$E,0)))</f>
        <v/>
      </c>
      <c r="C920" s="179" t="str">
        <f>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29"/>
        <v/>
      </c>
      <c r="T920" s="174" t="str">
        <f ca="1">IF(B920="","",IF(ISERROR(MATCH($J920,SorP!$B$1:$B$6279,0)),"",INDIRECT("'SorP'!$A$"&amp;MATCH($S920&amp;$J920,SorP!C:C,0))))</f>
        <v/>
      </c>
      <c r="U920" s="194"/>
      <c r="V920" s="218" t="e">
        <f>IF(C920="",NA(),IF(OR(C920="Smelter not listed",C920="Smelter not yet identified"),MATCH($B920&amp;$D920,'Smelter Look-up'!$J:$J,0),MATCH($B920&amp;$C920,'Smelter Look-up'!$J:$J,0)))</f>
        <v>#N/A</v>
      </c>
      <c r="X920" s="219">
        <f t="shared" ca="1" si="130"/>
        <v>0</v>
      </c>
      <c r="AB920" s="220" t="str">
        <f t="shared" si="131"/>
        <v/>
      </c>
    </row>
    <row r="921" spans="1:28" s="219" customFormat="1" ht="20.25">
      <c r="A921" s="174"/>
      <c r="B921" s="175" t="str">
        <f>IF(LEN(A921)=0,"",INDEX('Smelter Look-up'!$A:$A,MATCH($A921,'Smelter Look-up'!$E:$E,0)))</f>
        <v/>
      </c>
      <c r="C921" s="179" t="str">
        <f>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29"/>
        <v/>
      </c>
      <c r="T921" s="174" t="str">
        <f ca="1">IF(B921="","",IF(ISERROR(MATCH($J921,SorP!$B$1:$B$6279,0)),"",INDIRECT("'SorP'!$A$"&amp;MATCH($S921&amp;$J921,SorP!C:C,0))))</f>
        <v/>
      </c>
      <c r="U921" s="194"/>
      <c r="V921" s="218" t="e">
        <f>IF(C921="",NA(),IF(OR(C921="Smelter not listed",C921="Smelter not yet identified"),MATCH($B921&amp;$D921,'Smelter Look-up'!$J:$J,0),MATCH($B921&amp;$C921,'Smelter Look-up'!$J:$J,0)))</f>
        <v>#N/A</v>
      </c>
      <c r="X921" s="219">
        <f t="shared" ca="1" si="130"/>
        <v>0</v>
      </c>
      <c r="AB921" s="220" t="str">
        <f t="shared" si="131"/>
        <v/>
      </c>
    </row>
    <row r="922" spans="1:28" s="219" customFormat="1" ht="20.25">
      <c r="A922" s="174"/>
      <c r="B922" s="175" t="str">
        <f>IF(LEN(A922)=0,"",INDEX('Smelter Look-up'!$A:$A,MATCH($A922,'Smelter Look-up'!$E:$E,0)))</f>
        <v/>
      </c>
      <c r="C922" s="179" t="str">
        <f>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129"/>
        <v/>
      </c>
      <c r="T922" s="174" t="str">
        <f ca="1">IF(B922="","",IF(ISERROR(MATCH($J922,SorP!$B$1:$B$6279,0)),"",INDIRECT("'SorP'!$A$"&amp;MATCH($S922&amp;$J922,SorP!C:C,0))))</f>
        <v/>
      </c>
      <c r="U922" s="194"/>
      <c r="V922" s="218" t="e">
        <f>IF(C922="",NA(),IF(OR(C922="Smelter not listed",C922="Smelter not yet identified"),MATCH($B922&amp;$D922,'Smelter Look-up'!$J:$J,0),MATCH($B922&amp;$C922,'Smelter Look-up'!$J:$J,0)))</f>
        <v>#N/A</v>
      </c>
      <c r="X922" s="219">
        <f t="shared" ca="1" si="130"/>
        <v>0</v>
      </c>
      <c r="AB922" s="220" t="str">
        <f t="shared" si="131"/>
        <v/>
      </c>
    </row>
    <row r="923" spans="1:28" s="219" customFormat="1" ht="20.25">
      <c r="A923" s="174"/>
      <c r="B923" s="175" t="str">
        <f>IF(LEN(A923)=0,"",INDEX('Smelter Look-up'!$A:$A,MATCH($A923,'Smelter Look-up'!$E:$E,0)))</f>
        <v/>
      </c>
      <c r="C923" s="179" t="str">
        <f>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129"/>
        <v/>
      </c>
      <c r="T923" s="174" t="str">
        <f ca="1">IF(B923="","",IF(ISERROR(MATCH($J923,SorP!$B$1:$B$6279,0)),"",INDIRECT("'SorP'!$A$"&amp;MATCH($S923&amp;$J923,SorP!C:C,0))))</f>
        <v/>
      </c>
      <c r="U923" s="194"/>
      <c r="V923" s="218" t="e">
        <f>IF(C923="",NA(),IF(OR(C923="Smelter not listed",C923="Smelter not yet identified"),MATCH($B923&amp;$D923,'Smelter Look-up'!$J:$J,0),MATCH($B923&amp;$C923,'Smelter Look-up'!$J:$J,0)))</f>
        <v>#N/A</v>
      </c>
      <c r="X923" s="219">
        <f t="shared" ca="1" si="130"/>
        <v>0</v>
      </c>
      <c r="AB923" s="220" t="str">
        <f t="shared" si="131"/>
        <v/>
      </c>
    </row>
    <row r="924" spans="1:28" s="219" customFormat="1" ht="20.25">
      <c r="A924" s="174"/>
      <c r="B924" s="175" t="str">
        <f>IF(LEN(A924)=0,"",INDEX('Smelter Look-up'!$A:$A,MATCH($A924,'Smelter Look-up'!$E:$E,0)))</f>
        <v/>
      </c>
      <c r="C924" s="179" t="str">
        <f>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ref="S924:S954" ca="1" si="132">IF(B924="","",IF(ISERROR(MATCH($E924,CL,0)),"Unknown",INDIRECT("'C'!$A$"&amp;MATCH($E924,CL,0)+1)))</f>
        <v/>
      </c>
      <c r="T924" s="174" t="str">
        <f ca="1">IF(B924="","",IF(ISERROR(MATCH($J924,SorP!$B$1:$B$6279,0)),"",INDIRECT("'SorP'!$A$"&amp;MATCH($S924&amp;$J924,SorP!C:C,0))))</f>
        <v/>
      </c>
      <c r="U924" s="194"/>
      <c r="V924" s="218" t="e">
        <f>IF(C924="",NA(),IF(OR(C924="Smelter not listed",C924="Smelter not yet identified"),MATCH($B924&amp;$D924,'Smelter Look-up'!$J:$J,0),MATCH($B924&amp;$C924,'Smelter Look-up'!$J:$J,0)))</f>
        <v>#N/A</v>
      </c>
      <c r="X924" s="219">
        <f t="shared" ref="X924:X954" ca="1" si="133">IF(AND(C924="Smelter not listed",OR(LEN(D924)=0,LEN(E924)=0)),1,0)</f>
        <v>0</v>
      </c>
      <c r="AB924" s="220" t="str">
        <f t="shared" ref="AB924:AB954" si="134">B924&amp;C924</f>
        <v/>
      </c>
    </row>
    <row r="925" spans="1:28" s="219" customFormat="1" ht="20.25">
      <c r="A925" s="174"/>
      <c r="B925" s="175" t="str">
        <f>IF(LEN(A925)=0,"",INDEX('Smelter Look-up'!$A:$A,MATCH($A925,'Smelter Look-up'!$E:$E,0)))</f>
        <v/>
      </c>
      <c r="C925" s="179" t="str">
        <f>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32"/>
        <v/>
      </c>
      <c r="T925" s="174" t="str">
        <f ca="1">IF(B925="","",IF(ISERROR(MATCH($J925,SorP!$B$1:$B$6279,0)),"",INDIRECT("'SorP'!$A$"&amp;MATCH($S925&amp;$J925,SorP!C:C,0))))</f>
        <v/>
      </c>
      <c r="U925" s="194"/>
      <c r="V925" s="218" t="e">
        <f>IF(C925="",NA(),IF(OR(C925="Smelter not listed",C925="Smelter not yet identified"),MATCH($B925&amp;$D925,'Smelter Look-up'!$J:$J,0),MATCH($B925&amp;$C925,'Smelter Look-up'!$J:$J,0)))</f>
        <v>#N/A</v>
      </c>
      <c r="X925" s="219">
        <f t="shared" ca="1" si="133"/>
        <v>0</v>
      </c>
      <c r="AB925" s="220" t="str">
        <f t="shared" si="134"/>
        <v/>
      </c>
    </row>
    <row r="926" spans="1:28" s="219" customFormat="1" ht="20.25">
      <c r="A926" s="174"/>
      <c r="B926" s="175" t="str">
        <f>IF(LEN(A926)=0,"",INDEX('Smelter Look-up'!$A:$A,MATCH($A926,'Smelter Look-up'!$E:$E,0)))</f>
        <v/>
      </c>
      <c r="C926" s="179" t="str">
        <f>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32"/>
        <v/>
      </c>
      <c r="T926" s="174" t="str">
        <f ca="1">IF(B926="","",IF(ISERROR(MATCH($J926,SorP!$B$1:$B$6279,0)),"",INDIRECT("'SorP'!$A$"&amp;MATCH($S926&amp;$J926,SorP!C:C,0))))</f>
        <v/>
      </c>
      <c r="U926" s="194"/>
      <c r="V926" s="218" t="e">
        <f>IF(C926="",NA(),IF(OR(C926="Smelter not listed",C926="Smelter not yet identified"),MATCH($B926&amp;$D926,'Smelter Look-up'!$J:$J,0),MATCH($B926&amp;$C926,'Smelter Look-up'!$J:$J,0)))</f>
        <v>#N/A</v>
      </c>
      <c r="X926" s="219">
        <f t="shared" ca="1" si="133"/>
        <v>0</v>
      </c>
      <c r="AB926" s="220" t="str">
        <f t="shared" si="134"/>
        <v/>
      </c>
    </row>
    <row r="927" spans="1:28" s="219" customFormat="1" ht="20.25">
      <c r="A927" s="174"/>
      <c r="B927" s="175" t="str">
        <f>IF(LEN(A927)=0,"",INDEX('Smelter Look-up'!$A:$A,MATCH($A927,'Smelter Look-up'!$E:$E,0)))</f>
        <v/>
      </c>
      <c r="C927" s="179" t="str">
        <f>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32"/>
        <v/>
      </c>
      <c r="T927" s="174" t="str">
        <f ca="1">IF(B927="","",IF(ISERROR(MATCH($J927,SorP!$B$1:$B$6279,0)),"",INDIRECT("'SorP'!$A$"&amp;MATCH($S927&amp;$J927,SorP!C:C,0))))</f>
        <v/>
      </c>
      <c r="U927" s="194"/>
      <c r="V927" s="218" t="e">
        <f>IF(C927="",NA(),IF(OR(C927="Smelter not listed",C927="Smelter not yet identified"),MATCH($B927&amp;$D927,'Smelter Look-up'!$J:$J,0),MATCH($B927&amp;$C927,'Smelter Look-up'!$J:$J,0)))</f>
        <v>#N/A</v>
      </c>
      <c r="X927" s="219">
        <f t="shared" ca="1" si="133"/>
        <v>0</v>
      </c>
      <c r="AB927" s="220" t="str">
        <f t="shared" si="134"/>
        <v/>
      </c>
    </row>
    <row r="928" spans="1:28" s="219" customFormat="1" ht="20.25">
      <c r="A928" s="174"/>
      <c r="B928" s="175" t="str">
        <f>IF(LEN(A928)=0,"",INDEX('Smelter Look-up'!$A:$A,MATCH($A928,'Smelter Look-up'!$E:$E,0)))</f>
        <v/>
      </c>
      <c r="C928" s="179" t="str">
        <f>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32"/>
        <v/>
      </c>
      <c r="T928" s="174" t="str">
        <f ca="1">IF(B928="","",IF(ISERROR(MATCH($J928,SorP!$B$1:$B$6279,0)),"",INDIRECT("'SorP'!$A$"&amp;MATCH($S928&amp;$J928,SorP!C:C,0))))</f>
        <v/>
      </c>
      <c r="U928" s="194"/>
      <c r="V928" s="218" t="e">
        <f>IF(C928="",NA(),IF(OR(C928="Smelter not listed",C928="Smelter not yet identified"),MATCH($B928&amp;$D928,'Smelter Look-up'!$J:$J,0),MATCH($B928&amp;$C928,'Smelter Look-up'!$J:$J,0)))</f>
        <v>#N/A</v>
      </c>
      <c r="X928" s="219">
        <f t="shared" ca="1" si="133"/>
        <v>0</v>
      </c>
      <c r="AB928" s="220" t="str">
        <f t="shared" si="134"/>
        <v/>
      </c>
    </row>
    <row r="929" spans="1:28" s="219" customFormat="1" ht="20.25">
      <c r="A929" s="174"/>
      <c r="B929" s="175" t="str">
        <f>IF(LEN(A929)=0,"",INDEX('Smelter Look-up'!$A:$A,MATCH($A929,'Smelter Look-up'!$E:$E,0)))</f>
        <v/>
      </c>
      <c r="C929" s="179" t="str">
        <f>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32"/>
        <v/>
      </c>
      <c r="T929" s="174" t="str">
        <f ca="1">IF(B929="","",IF(ISERROR(MATCH($J929,SorP!$B$1:$B$6279,0)),"",INDIRECT("'SorP'!$A$"&amp;MATCH($S929&amp;$J929,SorP!C:C,0))))</f>
        <v/>
      </c>
      <c r="U929" s="194"/>
      <c r="V929" s="218" t="e">
        <f>IF(C929="",NA(),IF(OR(C929="Smelter not listed",C929="Smelter not yet identified"),MATCH($B929&amp;$D929,'Smelter Look-up'!$J:$J,0),MATCH($B929&amp;$C929,'Smelter Look-up'!$J:$J,0)))</f>
        <v>#N/A</v>
      </c>
      <c r="X929" s="219">
        <f t="shared" ca="1" si="133"/>
        <v>0</v>
      </c>
      <c r="AB929" s="220" t="str">
        <f t="shared" si="134"/>
        <v/>
      </c>
    </row>
    <row r="930" spans="1:28" s="219" customFormat="1" ht="20.25">
      <c r="A930" s="174"/>
      <c r="B930" s="175" t="str">
        <f>IF(LEN(A930)=0,"",INDEX('Smelter Look-up'!$A:$A,MATCH($A930,'Smelter Look-up'!$E:$E,0)))</f>
        <v/>
      </c>
      <c r="C930" s="179" t="str">
        <f>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32"/>
        <v/>
      </c>
      <c r="T930" s="174" t="str">
        <f ca="1">IF(B930="","",IF(ISERROR(MATCH($J930,SorP!$B$1:$B$6279,0)),"",INDIRECT("'SorP'!$A$"&amp;MATCH($S930&amp;$J930,SorP!C:C,0))))</f>
        <v/>
      </c>
      <c r="U930" s="194"/>
      <c r="V930" s="218" t="e">
        <f>IF(C930="",NA(),IF(OR(C930="Smelter not listed",C930="Smelter not yet identified"),MATCH($B930&amp;$D930,'Smelter Look-up'!$J:$J,0),MATCH($B930&amp;$C930,'Smelter Look-up'!$J:$J,0)))</f>
        <v>#N/A</v>
      </c>
      <c r="X930" s="219">
        <f t="shared" ca="1" si="133"/>
        <v>0</v>
      </c>
      <c r="AB930" s="220" t="str">
        <f t="shared" si="134"/>
        <v/>
      </c>
    </row>
    <row r="931" spans="1:28" s="219" customFormat="1" ht="20.25">
      <c r="A931" s="174"/>
      <c r="B931" s="175" t="str">
        <f>IF(LEN(A931)=0,"",INDEX('Smelter Look-up'!$A:$A,MATCH($A931,'Smelter Look-up'!$E:$E,0)))</f>
        <v/>
      </c>
      <c r="C931" s="179" t="str">
        <f>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32"/>
        <v/>
      </c>
      <c r="T931" s="174" t="str">
        <f ca="1">IF(B931="","",IF(ISERROR(MATCH($J931,SorP!$B$1:$B$6279,0)),"",INDIRECT("'SorP'!$A$"&amp;MATCH($S931&amp;$J931,SorP!C:C,0))))</f>
        <v/>
      </c>
      <c r="U931" s="194"/>
      <c r="V931" s="218" t="e">
        <f>IF(C931="",NA(),IF(OR(C931="Smelter not listed",C931="Smelter not yet identified"),MATCH($B931&amp;$D931,'Smelter Look-up'!$J:$J,0),MATCH($B931&amp;$C931,'Smelter Look-up'!$J:$J,0)))</f>
        <v>#N/A</v>
      </c>
      <c r="X931" s="219">
        <f t="shared" ca="1" si="133"/>
        <v>0</v>
      </c>
      <c r="AB931" s="220" t="str">
        <f t="shared" si="134"/>
        <v/>
      </c>
    </row>
    <row r="932" spans="1:28" s="219" customFormat="1" ht="20.25">
      <c r="A932" s="174"/>
      <c r="B932" s="175" t="str">
        <f>IF(LEN(A932)=0,"",INDEX('Smelter Look-up'!$A:$A,MATCH($A932,'Smelter Look-up'!$E:$E,0)))</f>
        <v/>
      </c>
      <c r="C932" s="179" t="str">
        <f>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32"/>
        <v/>
      </c>
      <c r="T932" s="174" t="str">
        <f ca="1">IF(B932="","",IF(ISERROR(MATCH($J932,SorP!$B$1:$B$6279,0)),"",INDIRECT("'SorP'!$A$"&amp;MATCH($S932&amp;$J932,SorP!C:C,0))))</f>
        <v/>
      </c>
      <c r="U932" s="194"/>
      <c r="V932" s="218" t="e">
        <f>IF(C932="",NA(),IF(OR(C932="Smelter not listed",C932="Smelter not yet identified"),MATCH($B932&amp;$D932,'Smelter Look-up'!$J:$J,0),MATCH($B932&amp;$C932,'Smelter Look-up'!$J:$J,0)))</f>
        <v>#N/A</v>
      </c>
      <c r="X932" s="219">
        <f t="shared" ca="1" si="133"/>
        <v>0</v>
      </c>
      <c r="AB932" s="220" t="str">
        <f t="shared" si="134"/>
        <v/>
      </c>
    </row>
    <row r="933" spans="1:28" s="219" customFormat="1" ht="20.25">
      <c r="A933" s="174"/>
      <c r="B933" s="175" t="str">
        <f>IF(LEN(A933)=0,"",INDEX('Smelter Look-up'!$A:$A,MATCH($A933,'Smelter Look-up'!$E:$E,0)))</f>
        <v/>
      </c>
      <c r="C933" s="179" t="str">
        <f>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32"/>
        <v/>
      </c>
      <c r="T933" s="174" t="str">
        <f ca="1">IF(B933="","",IF(ISERROR(MATCH($J933,SorP!$B$1:$B$6279,0)),"",INDIRECT("'SorP'!$A$"&amp;MATCH($S933&amp;$J933,SorP!C:C,0))))</f>
        <v/>
      </c>
      <c r="U933" s="194"/>
      <c r="V933" s="218" t="e">
        <f>IF(C933="",NA(),IF(OR(C933="Smelter not listed",C933="Smelter not yet identified"),MATCH($B933&amp;$D933,'Smelter Look-up'!$J:$J,0),MATCH($B933&amp;$C933,'Smelter Look-up'!$J:$J,0)))</f>
        <v>#N/A</v>
      </c>
      <c r="X933" s="219">
        <f t="shared" ca="1" si="133"/>
        <v>0</v>
      </c>
      <c r="AB933" s="220" t="str">
        <f t="shared" si="134"/>
        <v/>
      </c>
    </row>
    <row r="934" spans="1:28" s="219" customFormat="1" ht="20.25">
      <c r="A934" s="174"/>
      <c r="B934" s="175" t="str">
        <f>IF(LEN(A934)=0,"",INDEX('Smelter Look-up'!$A:$A,MATCH($A934,'Smelter Look-up'!$E:$E,0)))</f>
        <v/>
      </c>
      <c r="C934" s="179" t="str">
        <f>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32"/>
        <v/>
      </c>
      <c r="T934" s="174" t="str">
        <f ca="1">IF(B934="","",IF(ISERROR(MATCH($J934,SorP!$B$1:$B$6279,0)),"",INDIRECT("'SorP'!$A$"&amp;MATCH($S934&amp;$J934,SorP!C:C,0))))</f>
        <v/>
      </c>
      <c r="U934" s="194"/>
      <c r="V934" s="218" t="e">
        <f>IF(C934="",NA(),IF(OR(C934="Smelter not listed",C934="Smelter not yet identified"),MATCH($B934&amp;$D934,'Smelter Look-up'!$J:$J,0),MATCH($B934&amp;$C934,'Smelter Look-up'!$J:$J,0)))</f>
        <v>#N/A</v>
      </c>
      <c r="X934" s="219">
        <f t="shared" ca="1" si="133"/>
        <v>0</v>
      </c>
      <c r="AB934" s="220" t="str">
        <f t="shared" si="134"/>
        <v/>
      </c>
    </row>
    <row r="935" spans="1:28" s="219" customFormat="1" ht="20.25">
      <c r="A935" s="174"/>
      <c r="B935" s="175" t="str">
        <f>IF(LEN(A935)=0,"",INDEX('Smelter Look-up'!$A:$A,MATCH($A935,'Smelter Look-up'!$E:$E,0)))</f>
        <v/>
      </c>
      <c r="C935" s="179" t="str">
        <f>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32"/>
        <v/>
      </c>
      <c r="T935" s="174" t="str">
        <f ca="1">IF(B935="","",IF(ISERROR(MATCH($J935,SorP!$B$1:$B$6279,0)),"",INDIRECT("'SorP'!$A$"&amp;MATCH($S935&amp;$J935,SorP!C:C,0))))</f>
        <v/>
      </c>
      <c r="U935" s="194"/>
      <c r="V935" s="218" t="e">
        <f>IF(C935="",NA(),IF(OR(C935="Smelter not listed",C935="Smelter not yet identified"),MATCH($B935&amp;$D935,'Smelter Look-up'!$J:$J,0),MATCH($B935&amp;$C935,'Smelter Look-up'!$J:$J,0)))</f>
        <v>#N/A</v>
      </c>
      <c r="X935" s="219">
        <f t="shared" ca="1" si="133"/>
        <v>0</v>
      </c>
      <c r="AB935" s="220" t="str">
        <f t="shared" si="134"/>
        <v/>
      </c>
    </row>
    <row r="936" spans="1:28" s="219" customFormat="1" ht="20.25">
      <c r="A936" s="174"/>
      <c r="B936" s="175" t="str">
        <f>IF(LEN(A936)=0,"",INDEX('Smelter Look-up'!$A:$A,MATCH($A936,'Smelter Look-up'!$E:$E,0)))</f>
        <v/>
      </c>
      <c r="C936" s="179" t="str">
        <f>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32"/>
        <v/>
      </c>
      <c r="T936" s="174" t="str">
        <f ca="1">IF(B936="","",IF(ISERROR(MATCH($J936,SorP!$B$1:$B$6279,0)),"",INDIRECT("'SorP'!$A$"&amp;MATCH($S936&amp;$J936,SorP!C:C,0))))</f>
        <v/>
      </c>
      <c r="U936" s="194"/>
      <c r="V936" s="218" t="e">
        <f>IF(C936="",NA(),IF(OR(C936="Smelter not listed",C936="Smelter not yet identified"),MATCH($B936&amp;$D936,'Smelter Look-up'!$J:$J,0),MATCH($B936&amp;$C936,'Smelter Look-up'!$J:$J,0)))</f>
        <v>#N/A</v>
      </c>
      <c r="X936" s="219">
        <f t="shared" ca="1" si="133"/>
        <v>0</v>
      </c>
      <c r="AB936" s="220" t="str">
        <f t="shared" si="134"/>
        <v/>
      </c>
    </row>
    <row r="937" spans="1:28" s="219" customFormat="1" ht="20.25">
      <c r="A937" s="174"/>
      <c r="B937" s="175" t="str">
        <f>IF(LEN(A937)=0,"",INDEX('Smelter Look-up'!$A:$A,MATCH($A937,'Smelter Look-up'!$E:$E,0)))</f>
        <v/>
      </c>
      <c r="C937" s="179" t="str">
        <f>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32"/>
        <v/>
      </c>
      <c r="T937" s="174" t="str">
        <f ca="1">IF(B937="","",IF(ISERROR(MATCH($J937,SorP!$B$1:$B$6279,0)),"",INDIRECT("'SorP'!$A$"&amp;MATCH($S937&amp;$J937,SorP!C:C,0))))</f>
        <v/>
      </c>
      <c r="U937" s="194"/>
      <c r="V937" s="218" t="e">
        <f>IF(C937="",NA(),IF(OR(C937="Smelter not listed",C937="Smelter not yet identified"),MATCH($B937&amp;$D937,'Smelter Look-up'!$J:$J,0),MATCH($B937&amp;$C937,'Smelter Look-up'!$J:$J,0)))</f>
        <v>#N/A</v>
      </c>
      <c r="X937" s="219">
        <f t="shared" ca="1" si="133"/>
        <v>0</v>
      </c>
      <c r="AB937" s="220" t="str">
        <f t="shared" si="134"/>
        <v/>
      </c>
    </row>
    <row r="938" spans="1:28" s="219" customFormat="1" ht="20.25">
      <c r="A938" s="174"/>
      <c r="B938" s="175" t="str">
        <f>IF(LEN(A938)=0,"",INDEX('Smelter Look-up'!$A:$A,MATCH($A938,'Smelter Look-up'!$E:$E,0)))</f>
        <v/>
      </c>
      <c r="C938" s="179" t="str">
        <f>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32"/>
        <v/>
      </c>
      <c r="T938" s="174" t="str">
        <f ca="1">IF(B938="","",IF(ISERROR(MATCH($J938,SorP!$B$1:$B$6279,0)),"",INDIRECT("'SorP'!$A$"&amp;MATCH($S938&amp;$J938,SorP!C:C,0))))</f>
        <v/>
      </c>
      <c r="U938" s="194"/>
      <c r="V938" s="218" t="e">
        <f>IF(C938="",NA(),IF(OR(C938="Smelter not listed",C938="Smelter not yet identified"),MATCH($B938&amp;$D938,'Smelter Look-up'!$J:$J,0),MATCH($B938&amp;$C938,'Smelter Look-up'!$J:$J,0)))</f>
        <v>#N/A</v>
      </c>
      <c r="X938" s="219">
        <f t="shared" ca="1" si="133"/>
        <v>0</v>
      </c>
      <c r="AB938" s="220" t="str">
        <f t="shared" si="134"/>
        <v/>
      </c>
    </row>
    <row r="939" spans="1:28" s="219" customFormat="1" ht="20.25">
      <c r="A939" s="174"/>
      <c r="B939" s="175" t="str">
        <f>IF(LEN(A939)=0,"",INDEX('Smelter Look-up'!$A:$A,MATCH($A939,'Smelter Look-up'!$E:$E,0)))</f>
        <v/>
      </c>
      <c r="C939" s="179" t="str">
        <f>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32"/>
        <v/>
      </c>
      <c r="T939" s="174" t="str">
        <f ca="1">IF(B939="","",IF(ISERROR(MATCH($J939,SorP!$B$1:$B$6279,0)),"",INDIRECT("'SorP'!$A$"&amp;MATCH($S939&amp;$J939,SorP!C:C,0))))</f>
        <v/>
      </c>
      <c r="U939" s="194"/>
      <c r="V939" s="218" t="e">
        <f>IF(C939="",NA(),IF(OR(C939="Smelter not listed",C939="Smelter not yet identified"),MATCH($B939&amp;$D939,'Smelter Look-up'!$J:$J,0),MATCH($B939&amp;$C939,'Smelter Look-up'!$J:$J,0)))</f>
        <v>#N/A</v>
      </c>
      <c r="X939" s="219">
        <f t="shared" ca="1" si="133"/>
        <v>0</v>
      </c>
      <c r="AB939" s="220" t="str">
        <f t="shared" si="134"/>
        <v/>
      </c>
    </row>
    <row r="940" spans="1:28" s="219" customFormat="1" ht="20.25">
      <c r="A940" s="174"/>
      <c r="B940" s="175" t="str">
        <f>IF(LEN(A940)=0,"",INDEX('Smelter Look-up'!$A:$A,MATCH($A940,'Smelter Look-up'!$E:$E,0)))</f>
        <v/>
      </c>
      <c r="C940" s="179" t="str">
        <f>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32"/>
        <v/>
      </c>
      <c r="T940" s="174" t="str">
        <f ca="1">IF(B940="","",IF(ISERROR(MATCH($J940,SorP!$B$1:$B$6279,0)),"",INDIRECT("'SorP'!$A$"&amp;MATCH($S940&amp;$J940,SorP!C:C,0))))</f>
        <v/>
      </c>
      <c r="U940" s="194"/>
      <c r="V940" s="218" t="e">
        <f>IF(C940="",NA(),IF(OR(C940="Smelter not listed",C940="Smelter not yet identified"),MATCH($B940&amp;$D940,'Smelter Look-up'!$J:$J,0),MATCH($B940&amp;$C940,'Smelter Look-up'!$J:$J,0)))</f>
        <v>#N/A</v>
      </c>
      <c r="X940" s="219">
        <f t="shared" ca="1" si="133"/>
        <v>0</v>
      </c>
      <c r="AB940" s="220" t="str">
        <f t="shared" si="134"/>
        <v/>
      </c>
    </row>
    <row r="941" spans="1:28" s="219" customFormat="1" ht="20.25">
      <c r="A941" s="174"/>
      <c r="B941" s="175" t="str">
        <f>IF(LEN(A941)=0,"",INDEX('Smelter Look-up'!$A:$A,MATCH($A941,'Smelter Look-up'!$E:$E,0)))</f>
        <v/>
      </c>
      <c r="C941" s="179" t="str">
        <f>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32"/>
        <v/>
      </c>
      <c r="T941" s="174" t="str">
        <f ca="1">IF(B941="","",IF(ISERROR(MATCH($J941,SorP!$B$1:$B$6279,0)),"",INDIRECT("'SorP'!$A$"&amp;MATCH($S941&amp;$J941,SorP!C:C,0))))</f>
        <v/>
      </c>
      <c r="U941" s="194"/>
      <c r="V941" s="218" t="e">
        <f>IF(C941="",NA(),IF(OR(C941="Smelter not listed",C941="Smelter not yet identified"),MATCH($B941&amp;$D941,'Smelter Look-up'!$J:$J,0),MATCH($B941&amp;$C941,'Smelter Look-up'!$J:$J,0)))</f>
        <v>#N/A</v>
      </c>
      <c r="X941" s="219">
        <f t="shared" ca="1" si="133"/>
        <v>0</v>
      </c>
      <c r="AB941" s="220" t="str">
        <f t="shared" si="134"/>
        <v/>
      </c>
    </row>
    <row r="942" spans="1:28" s="219" customFormat="1" ht="20.25">
      <c r="A942" s="174"/>
      <c r="B942" s="175" t="str">
        <f>IF(LEN(A942)=0,"",INDEX('Smelter Look-up'!$A:$A,MATCH($A942,'Smelter Look-up'!$E:$E,0)))</f>
        <v/>
      </c>
      <c r="C942" s="179" t="str">
        <f>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32"/>
        <v/>
      </c>
      <c r="T942" s="174" t="str">
        <f ca="1">IF(B942="","",IF(ISERROR(MATCH($J942,SorP!$B$1:$B$6279,0)),"",INDIRECT("'SorP'!$A$"&amp;MATCH($S942&amp;$J942,SorP!C:C,0))))</f>
        <v/>
      </c>
      <c r="U942" s="194"/>
      <c r="V942" s="218" t="e">
        <f>IF(C942="",NA(),IF(OR(C942="Smelter not listed",C942="Smelter not yet identified"),MATCH($B942&amp;$D942,'Smelter Look-up'!$J:$J,0),MATCH($B942&amp;$C942,'Smelter Look-up'!$J:$J,0)))</f>
        <v>#N/A</v>
      </c>
      <c r="X942" s="219">
        <f t="shared" ca="1" si="133"/>
        <v>0</v>
      </c>
      <c r="AB942" s="220" t="str">
        <f t="shared" si="134"/>
        <v/>
      </c>
    </row>
    <row r="943" spans="1:28" s="219" customFormat="1" ht="20.25">
      <c r="A943" s="174"/>
      <c r="B943" s="175" t="str">
        <f>IF(LEN(A943)=0,"",INDEX('Smelter Look-up'!$A:$A,MATCH($A943,'Smelter Look-up'!$E:$E,0)))</f>
        <v/>
      </c>
      <c r="C943" s="179" t="str">
        <f>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32"/>
        <v/>
      </c>
      <c r="T943" s="174" t="str">
        <f ca="1">IF(B943="","",IF(ISERROR(MATCH($J943,SorP!$B$1:$B$6279,0)),"",INDIRECT("'SorP'!$A$"&amp;MATCH($S943&amp;$J943,SorP!C:C,0))))</f>
        <v/>
      </c>
      <c r="U943" s="194"/>
      <c r="V943" s="218" t="e">
        <f>IF(C943="",NA(),IF(OR(C943="Smelter not listed",C943="Smelter not yet identified"),MATCH($B943&amp;$D943,'Smelter Look-up'!$J:$J,0),MATCH($B943&amp;$C943,'Smelter Look-up'!$J:$J,0)))</f>
        <v>#N/A</v>
      </c>
      <c r="X943" s="219">
        <f t="shared" ca="1" si="133"/>
        <v>0</v>
      </c>
      <c r="AB943" s="220" t="str">
        <f t="shared" si="134"/>
        <v/>
      </c>
    </row>
    <row r="944" spans="1:28" s="219" customFormat="1" ht="20.25">
      <c r="A944" s="174"/>
      <c r="B944" s="175" t="str">
        <f>IF(LEN(A944)=0,"",INDEX('Smelter Look-up'!$A:$A,MATCH($A944,'Smelter Look-up'!$E:$E,0)))</f>
        <v/>
      </c>
      <c r="C944" s="179" t="str">
        <f>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32"/>
        <v/>
      </c>
      <c r="T944" s="174" t="str">
        <f ca="1">IF(B944="","",IF(ISERROR(MATCH($J944,SorP!$B$1:$B$6279,0)),"",INDIRECT("'SorP'!$A$"&amp;MATCH($S944&amp;$J944,SorP!C:C,0))))</f>
        <v/>
      </c>
      <c r="U944" s="194"/>
      <c r="V944" s="218" t="e">
        <f>IF(C944="",NA(),IF(OR(C944="Smelter not listed",C944="Smelter not yet identified"),MATCH($B944&amp;$D944,'Smelter Look-up'!$J:$J,0),MATCH($B944&amp;$C944,'Smelter Look-up'!$J:$J,0)))</f>
        <v>#N/A</v>
      </c>
      <c r="X944" s="219">
        <f t="shared" ca="1" si="133"/>
        <v>0</v>
      </c>
      <c r="AB944" s="220" t="str">
        <f t="shared" si="134"/>
        <v/>
      </c>
    </row>
    <row r="945" spans="1:28" s="219" customFormat="1" ht="20.25">
      <c r="A945" s="174"/>
      <c r="B945" s="175" t="str">
        <f>IF(LEN(A945)=0,"",INDEX('Smelter Look-up'!$A:$A,MATCH($A945,'Smelter Look-up'!$E:$E,0)))</f>
        <v/>
      </c>
      <c r="C945" s="179" t="str">
        <f>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32"/>
        <v/>
      </c>
      <c r="T945" s="174" t="str">
        <f ca="1">IF(B945="","",IF(ISERROR(MATCH($J945,SorP!$B$1:$B$6279,0)),"",INDIRECT("'SorP'!$A$"&amp;MATCH($S945&amp;$J945,SorP!C:C,0))))</f>
        <v/>
      </c>
      <c r="U945" s="194"/>
      <c r="V945" s="218" t="e">
        <f>IF(C945="",NA(),IF(OR(C945="Smelter not listed",C945="Smelter not yet identified"),MATCH($B945&amp;$D945,'Smelter Look-up'!$J:$J,0),MATCH($B945&amp;$C945,'Smelter Look-up'!$J:$J,0)))</f>
        <v>#N/A</v>
      </c>
      <c r="X945" s="219">
        <f t="shared" ca="1" si="133"/>
        <v>0</v>
      </c>
      <c r="AB945" s="220" t="str">
        <f t="shared" si="134"/>
        <v/>
      </c>
    </row>
    <row r="946" spans="1:28" s="219" customFormat="1" ht="20.25">
      <c r="A946" s="174"/>
      <c r="B946" s="175" t="str">
        <f>IF(LEN(A946)=0,"",INDEX('Smelter Look-up'!$A:$A,MATCH($A946,'Smelter Look-up'!$E:$E,0)))</f>
        <v/>
      </c>
      <c r="C946" s="179" t="str">
        <f>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32"/>
        <v/>
      </c>
      <c r="T946" s="174" t="str">
        <f ca="1">IF(B946="","",IF(ISERROR(MATCH($J946,SorP!$B$1:$B$6279,0)),"",INDIRECT("'SorP'!$A$"&amp;MATCH($S946&amp;$J946,SorP!C:C,0))))</f>
        <v/>
      </c>
      <c r="U946" s="194"/>
      <c r="V946" s="218" t="e">
        <f>IF(C946="",NA(),IF(OR(C946="Smelter not listed",C946="Smelter not yet identified"),MATCH($B946&amp;$D946,'Smelter Look-up'!$J:$J,0),MATCH($B946&amp;$C946,'Smelter Look-up'!$J:$J,0)))</f>
        <v>#N/A</v>
      </c>
      <c r="X946" s="219">
        <f t="shared" ca="1" si="133"/>
        <v>0</v>
      </c>
      <c r="AB946" s="220" t="str">
        <f t="shared" si="134"/>
        <v/>
      </c>
    </row>
    <row r="947" spans="1:28" s="219" customFormat="1" ht="20.25">
      <c r="A947" s="174"/>
      <c r="B947" s="175" t="str">
        <f>IF(LEN(A947)=0,"",INDEX('Smelter Look-up'!$A:$A,MATCH($A947,'Smelter Look-up'!$E:$E,0)))</f>
        <v/>
      </c>
      <c r="C947" s="179" t="str">
        <f>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132"/>
        <v/>
      </c>
      <c r="T947" s="174" t="str">
        <f ca="1">IF(B947="","",IF(ISERROR(MATCH($J947,SorP!$B$1:$B$6279,0)),"",INDIRECT("'SorP'!$A$"&amp;MATCH($S947&amp;$J947,SorP!C:C,0))))</f>
        <v/>
      </c>
      <c r="U947" s="194"/>
      <c r="V947" s="218" t="e">
        <f>IF(C947="",NA(),IF(OR(C947="Smelter not listed",C947="Smelter not yet identified"),MATCH($B947&amp;$D947,'Smelter Look-up'!$J:$J,0),MATCH($B947&amp;$C947,'Smelter Look-up'!$J:$J,0)))</f>
        <v>#N/A</v>
      </c>
      <c r="X947" s="219">
        <f t="shared" ca="1" si="133"/>
        <v>0</v>
      </c>
      <c r="AB947" s="220" t="str">
        <f t="shared" si="134"/>
        <v/>
      </c>
    </row>
    <row r="948" spans="1:28" s="219" customFormat="1" ht="20.25">
      <c r="A948" s="174"/>
      <c r="B948" s="175" t="str">
        <f>IF(LEN(A948)=0,"",INDEX('Smelter Look-up'!$A:$A,MATCH($A948,'Smelter Look-up'!$E:$E,0)))</f>
        <v/>
      </c>
      <c r="C948" s="179" t="str">
        <f>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32"/>
        <v/>
      </c>
      <c r="T948" s="174" t="str">
        <f ca="1">IF(B948="","",IF(ISERROR(MATCH($J948,SorP!$B$1:$B$6279,0)),"",INDIRECT("'SorP'!$A$"&amp;MATCH($S948&amp;$J948,SorP!C:C,0))))</f>
        <v/>
      </c>
      <c r="U948" s="194"/>
      <c r="V948" s="218" t="e">
        <f>IF(C948="",NA(),IF(OR(C948="Smelter not listed",C948="Smelter not yet identified"),MATCH($B948&amp;$D948,'Smelter Look-up'!$J:$J,0),MATCH($B948&amp;$C948,'Smelter Look-up'!$J:$J,0)))</f>
        <v>#N/A</v>
      </c>
      <c r="X948" s="219">
        <f t="shared" ca="1" si="133"/>
        <v>0</v>
      </c>
      <c r="AB948" s="220" t="str">
        <f t="shared" si="134"/>
        <v/>
      </c>
    </row>
    <row r="949" spans="1:28" s="219" customFormat="1" ht="20.25">
      <c r="A949" s="174"/>
      <c r="B949" s="175" t="str">
        <f>IF(LEN(A949)=0,"",INDEX('Smelter Look-up'!$A:$A,MATCH($A949,'Smelter Look-up'!$E:$E,0)))</f>
        <v/>
      </c>
      <c r="C949" s="179" t="str">
        <f>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32"/>
        <v/>
      </c>
      <c r="T949" s="174" t="str">
        <f ca="1">IF(B949="","",IF(ISERROR(MATCH($J949,SorP!$B$1:$B$6279,0)),"",INDIRECT("'SorP'!$A$"&amp;MATCH($S949&amp;$J949,SorP!C:C,0))))</f>
        <v/>
      </c>
      <c r="U949" s="194"/>
      <c r="V949" s="218" t="e">
        <f>IF(C949="",NA(),IF(OR(C949="Smelter not listed",C949="Smelter not yet identified"),MATCH($B949&amp;$D949,'Smelter Look-up'!$J:$J,0),MATCH($B949&amp;$C949,'Smelter Look-up'!$J:$J,0)))</f>
        <v>#N/A</v>
      </c>
      <c r="X949" s="219">
        <f t="shared" ca="1" si="133"/>
        <v>0</v>
      </c>
      <c r="AB949" s="220" t="str">
        <f t="shared" si="134"/>
        <v/>
      </c>
    </row>
    <row r="950" spans="1:28" s="219" customFormat="1" ht="20.25">
      <c r="A950" s="174"/>
      <c r="B950" s="175" t="str">
        <f>IF(LEN(A950)=0,"",INDEX('Smelter Look-up'!$A:$A,MATCH($A950,'Smelter Look-up'!$E:$E,0)))</f>
        <v/>
      </c>
      <c r="C950" s="179" t="str">
        <f>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32"/>
        <v/>
      </c>
      <c r="T950" s="174" t="str">
        <f ca="1">IF(B950="","",IF(ISERROR(MATCH($J950,SorP!$B$1:$B$6279,0)),"",INDIRECT("'SorP'!$A$"&amp;MATCH($S950&amp;$J950,SorP!C:C,0))))</f>
        <v/>
      </c>
      <c r="U950" s="194"/>
      <c r="V950" s="218" t="e">
        <f>IF(C950="",NA(),IF(OR(C950="Smelter not listed",C950="Smelter not yet identified"),MATCH($B950&amp;$D950,'Smelter Look-up'!$J:$J,0),MATCH($B950&amp;$C950,'Smelter Look-up'!$J:$J,0)))</f>
        <v>#N/A</v>
      </c>
      <c r="X950" s="219">
        <f t="shared" ca="1" si="133"/>
        <v>0</v>
      </c>
      <c r="AB950" s="220" t="str">
        <f t="shared" si="134"/>
        <v/>
      </c>
    </row>
    <row r="951" spans="1:28" s="219" customFormat="1" ht="20.25">
      <c r="A951" s="174"/>
      <c r="B951" s="175" t="str">
        <f>IF(LEN(A951)=0,"",INDEX('Smelter Look-up'!$A:$A,MATCH($A951,'Smelter Look-up'!$E:$E,0)))</f>
        <v/>
      </c>
      <c r="C951" s="179" t="str">
        <f>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32"/>
        <v/>
      </c>
      <c r="T951" s="174" t="str">
        <f ca="1">IF(B951="","",IF(ISERROR(MATCH($J951,SorP!$B$1:$B$6279,0)),"",INDIRECT("'SorP'!$A$"&amp;MATCH($S951&amp;$J951,SorP!C:C,0))))</f>
        <v/>
      </c>
      <c r="U951" s="194"/>
      <c r="V951" s="218" t="e">
        <f>IF(C951="",NA(),IF(OR(C951="Smelter not listed",C951="Smelter not yet identified"),MATCH($B951&amp;$D951,'Smelter Look-up'!$J:$J,0),MATCH($B951&amp;$C951,'Smelter Look-up'!$J:$J,0)))</f>
        <v>#N/A</v>
      </c>
      <c r="X951" s="219">
        <f t="shared" ca="1" si="133"/>
        <v>0</v>
      </c>
      <c r="AB951" s="220" t="str">
        <f t="shared" si="134"/>
        <v/>
      </c>
    </row>
    <row r="952" spans="1:28" s="219" customFormat="1" ht="20.25">
      <c r="A952" s="174"/>
      <c r="B952" s="175" t="str">
        <f>IF(LEN(A952)=0,"",INDEX('Smelter Look-up'!$A:$A,MATCH($A952,'Smelter Look-up'!$E:$E,0)))</f>
        <v/>
      </c>
      <c r="C952" s="179" t="str">
        <f>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32"/>
        <v/>
      </c>
      <c r="T952" s="174" t="str">
        <f ca="1">IF(B952="","",IF(ISERROR(MATCH($J952,SorP!$B$1:$B$6279,0)),"",INDIRECT("'SorP'!$A$"&amp;MATCH($S952&amp;$J952,SorP!C:C,0))))</f>
        <v/>
      </c>
      <c r="U952" s="194"/>
      <c r="V952" s="218" t="e">
        <f>IF(C952="",NA(),IF(OR(C952="Smelter not listed",C952="Smelter not yet identified"),MATCH($B952&amp;$D952,'Smelter Look-up'!$J:$J,0),MATCH($B952&amp;$C952,'Smelter Look-up'!$J:$J,0)))</f>
        <v>#N/A</v>
      </c>
      <c r="X952" s="219">
        <f t="shared" ca="1" si="133"/>
        <v>0</v>
      </c>
      <c r="AB952" s="220" t="str">
        <f t="shared" si="134"/>
        <v/>
      </c>
    </row>
    <row r="953" spans="1:28" s="219" customFormat="1" ht="20.25">
      <c r="A953" s="174"/>
      <c r="B953" s="175" t="str">
        <f>IF(LEN(A953)=0,"",INDEX('Smelter Look-up'!$A:$A,MATCH($A953,'Smelter Look-up'!$E:$E,0)))</f>
        <v/>
      </c>
      <c r="C953" s="179" t="str">
        <f>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132"/>
        <v/>
      </c>
      <c r="T953" s="174" t="str">
        <f ca="1">IF(B953="","",IF(ISERROR(MATCH($J953,SorP!$B$1:$B$6279,0)),"",INDIRECT("'SorP'!$A$"&amp;MATCH($S953&amp;$J953,SorP!C:C,0))))</f>
        <v/>
      </c>
      <c r="U953" s="194"/>
      <c r="V953" s="218" t="e">
        <f>IF(C953="",NA(),IF(OR(C953="Smelter not listed",C953="Smelter not yet identified"),MATCH($B953&amp;$D953,'Smelter Look-up'!$J:$J,0),MATCH($B953&amp;$C953,'Smelter Look-up'!$J:$J,0)))</f>
        <v>#N/A</v>
      </c>
      <c r="X953" s="219">
        <f t="shared" ca="1" si="133"/>
        <v>0</v>
      </c>
      <c r="AB953" s="220" t="str">
        <f t="shared" si="134"/>
        <v/>
      </c>
    </row>
    <row r="954" spans="1:28" s="219" customFormat="1" ht="20.25">
      <c r="A954" s="174"/>
      <c r="B954" s="175" t="str">
        <f>IF(LEN(A954)=0,"",INDEX('Smelter Look-up'!$A:$A,MATCH($A954,'Smelter Look-up'!$E:$E,0)))</f>
        <v/>
      </c>
      <c r="C954" s="179" t="str">
        <f>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ca="1" si="132"/>
        <v/>
      </c>
      <c r="T954" s="174" t="str">
        <f ca="1">IF(B954="","",IF(ISERROR(MATCH($J954,SorP!$B$1:$B$6279,0)),"",INDIRECT("'SorP'!$A$"&amp;MATCH($S954&amp;$J954,SorP!C:C,0))))</f>
        <v/>
      </c>
      <c r="U954" s="194"/>
      <c r="V954" s="218" t="e">
        <f>IF(C954="",NA(),IF(OR(C954="Smelter not listed",C954="Smelter not yet identified"),MATCH($B954&amp;$D954,'Smelter Look-up'!$J:$J,0),MATCH($B954&amp;$C954,'Smelter Look-up'!$J:$J,0)))</f>
        <v>#N/A</v>
      </c>
      <c r="X954" s="219">
        <f t="shared" ca="1" si="133"/>
        <v>0</v>
      </c>
      <c r="AB954" s="220" t="str">
        <f t="shared" si="134"/>
        <v/>
      </c>
    </row>
    <row r="955" spans="1:28" s="219" customFormat="1" ht="20.25">
      <c r="A955" s="174"/>
      <c r="B955" s="175" t="str">
        <f>IF(LEN(A955)=0,"",INDEX('Smelter Look-up'!$A:$A,MATCH($A955,'Smelter Look-up'!$E:$E,0)))</f>
        <v/>
      </c>
      <c r="C955" s="179" t="str">
        <f>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ref="S955" ca="1" si="135">IF(B955="","",IF(ISERROR(MATCH($E955,CL,0)),"Unknown",INDIRECT("'C'!$A$"&amp;MATCH($E955,CL,0)+1)))</f>
        <v/>
      </c>
      <c r="T955" s="174" t="str">
        <f ca="1">IF(B955="","",IF(ISERROR(MATCH($J955,SorP!$B$1:$B$6279,0)),"",INDIRECT("'SorP'!$A$"&amp;MATCH($S955&amp;$J955,SorP!C:C,0))))</f>
        <v/>
      </c>
      <c r="U955" s="194"/>
      <c r="V955" s="218" t="e">
        <f>IF(C955="",NA(),IF(OR(C955="Smelter not listed",C955="Smelter not yet identified"),MATCH($B955&amp;$D955,'Smelter Look-up'!$J:$J,0),MATCH($B955&amp;$C955,'Smelter Look-up'!$J:$J,0)))</f>
        <v>#N/A</v>
      </c>
      <c r="X955" s="219">
        <f t="shared" ref="X955" ca="1" si="136">IF(AND(C955="Smelter not listed",OR(LEN(D955)=0,LEN(E955)=0)),1,0)</f>
        <v>0</v>
      </c>
      <c r="AB955" s="220" t="str">
        <f t="shared" ref="AB955" si="137">B955&amp;C955</f>
        <v/>
      </c>
    </row>
    <row r="956" spans="1:28" s="219" customFormat="1" ht="20.25">
      <c r="A956" s="174"/>
      <c r="B956" s="175" t="str">
        <f>IF(LEN(A956)=0,"",INDEX('Smelter Look-up'!$A:$A,MATCH($A956,'Smelter Look-up'!$E:$E,0)))</f>
        <v/>
      </c>
      <c r="C956" s="179" t="str">
        <f>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ref="S956:S987" ca="1" si="138">IF(B956="","",IF(ISERROR(MATCH($E956,CL,0)),"Unknown",INDIRECT("'C'!$A$"&amp;MATCH($E956,CL,0)+1)))</f>
        <v/>
      </c>
      <c r="T956" s="174" t="str">
        <f ca="1">IF(B956="","",IF(ISERROR(MATCH($J956,SorP!$B$1:$B$6279,0)),"",INDIRECT("'SorP'!$A$"&amp;MATCH($S956&amp;$J956,SorP!C:C,0))))</f>
        <v/>
      </c>
      <c r="U956" s="194"/>
      <c r="V956" s="218" t="e">
        <f>IF(C956="",NA(),IF(OR(C956="Smelter not listed",C956="Smelter not yet identified"),MATCH($B956&amp;$D956,'Smelter Look-up'!$J:$J,0),MATCH($B956&amp;$C956,'Smelter Look-up'!$J:$J,0)))</f>
        <v>#N/A</v>
      </c>
      <c r="X956" s="219">
        <f t="shared" ref="X956:X987" ca="1" si="139">IF(AND(C956="Smelter not listed",OR(LEN(D956)=0,LEN(E956)=0)),1,0)</f>
        <v>0</v>
      </c>
      <c r="AB956" s="220" t="str">
        <f t="shared" ref="AB956:AB987" si="140">B956&amp;C956</f>
        <v/>
      </c>
    </row>
    <row r="957" spans="1:28" s="219" customFormat="1" ht="20.25">
      <c r="A957" s="174"/>
      <c r="B957" s="175" t="str">
        <f>IF(LEN(A957)=0,"",INDEX('Smelter Look-up'!$A:$A,MATCH($A957,'Smelter Look-up'!$E:$E,0)))</f>
        <v/>
      </c>
      <c r="C957" s="179" t="str">
        <f>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38"/>
        <v/>
      </c>
      <c r="T957" s="174" t="str">
        <f ca="1">IF(B957="","",IF(ISERROR(MATCH($J957,SorP!$B$1:$B$6279,0)),"",INDIRECT("'SorP'!$A$"&amp;MATCH($S957&amp;$J957,SorP!C:C,0))))</f>
        <v/>
      </c>
      <c r="U957" s="194"/>
      <c r="V957" s="218" t="e">
        <f>IF(C957="",NA(),IF(OR(C957="Smelter not listed",C957="Smelter not yet identified"),MATCH($B957&amp;$D957,'Smelter Look-up'!$J:$J,0),MATCH($B957&amp;$C957,'Smelter Look-up'!$J:$J,0)))</f>
        <v>#N/A</v>
      </c>
      <c r="X957" s="219">
        <f t="shared" ca="1" si="139"/>
        <v>0</v>
      </c>
      <c r="AB957" s="220" t="str">
        <f t="shared" si="140"/>
        <v/>
      </c>
    </row>
    <row r="958" spans="1:28" s="219" customFormat="1" ht="20.25">
      <c r="A958" s="174"/>
      <c r="B958" s="175" t="str">
        <f>IF(LEN(A958)=0,"",INDEX('Smelter Look-up'!$A:$A,MATCH($A958,'Smelter Look-up'!$E:$E,0)))</f>
        <v/>
      </c>
      <c r="C958" s="179" t="str">
        <f>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38"/>
        <v/>
      </c>
      <c r="T958" s="174" t="str">
        <f ca="1">IF(B958="","",IF(ISERROR(MATCH($J958,SorP!$B$1:$B$6279,0)),"",INDIRECT("'SorP'!$A$"&amp;MATCH($S958&amp;$J958,SorP!C:C,0))))</f>
        <v/>
      </c>
      <c r="U958" s="194"/>
      <c r="V958" s="218" t="e">
        <f>IF(C958="",NA(),IF(OR(C958="Smelter not listed",C958="Smelter not yet identified"),MATCH($B958&amp;$D958,'Smelter Look-up'!$J:$J,0),MATCH($B958&amp;$C958,'Smelter Look-up'!$J:$J,0)))</f>
        <v>#N/A</v>
      </c>
      <c r="X958" s="219">
        <f t="shared" ca="1" si="139"/>
        <v>0</v>
      </c>
      <c r="AB958" s="220" t="str">
        <f t="shared" si="140"/>
        <v/>
      </c>
    </row>
    <row r="959" spans="1:28" s="219" customFormat="1" ht="20.25">
      <c r="A959" s="174"/>
      <c r="B959" s="175" t="str">
        <f>IF(LEN(A959)=0,"",INDEX('Smelter Look-up'!$A:$A,MATCH($A959,'Smelter Look-up'!$E:$E,0)))</f>
        <v/>
      </c>
      <c r="C959" s="179" t="str">
        <f>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38"/>
        <v/>
      </c>
      <c r="T959" s="174" t="str">
        <f ca="1">IF(B959="","",IF(ISERROR(MATCH($J959,SorP!$B$1:$B$6279,0)),"",INDIRECT("'SorP'!$A$"&amp;MATCH($S959&amp;$J959,SorP!C:C,0))))</f>
        <v/>
      </c>
      <c r="U959" s="194"/>
      <c r="V959" s="218" t="e">
        <f>IF(C959="",NA(),IF(OR(C959="Smelter not listed",C959="Smelter not yet identified"),MATCH($B959&amp;$D959,'Smelter Look-up'!$J:$J,0),MATCH($B959&amp;$C959,'Smelter Look-up'!$J:$J,0)))</f>
        <v>#N/A</v>
      </c>
      <c r="X959" s="219">
        <f t="shared" ca="1" si="139"/>
        <v>0</v>
      </c>
      <c r="AB959" s="220" t="str">
        <f t="shared" si="140"/>
        <v/>
      </c>
    </row>
    <row r="960" spans="1:28" s="219" customFormat="1" ht="20.25">
      <c r="A960" s="174"/>
      <c r="B960" s="175" t="str">
        <f>IF(LEN(A960)=0,"",INDEX('Smelter Look-up'!$A:$A,MATCH($A960,'Smelter Look-up'!$E:$E,0)))</f>
        <v/>
      </c>
      <c r="C960" s="179" t="str">
        <f>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38"/>
        <v/>
      </c>
      <c r="T960" s="174" t="str">
        <f ca="1">IF(B960="","",IF(ISERROR(MATCH($J960,SorP!$B$1:$B$6279,0)),"",INDIRECT("'SorP'!$A$"&amp;MATCH($S960&amp;$J960,SorP!C:C,0))))</f>
        <v/>
      </c>
      <c r="U960" s="194"/>
      <c r="V960" s="218" t="e">
        <f>IF(C960="",NA(),IF(OR(C960="Smelter not listed",C960="Smelter not yet identified"),MATCH($B960&amp;$D960,'Smelter Look-up'!$J:$J,0),MATCH($B960&amp;$C960,'Smelter Look-up'!$J:$J,0)))</f>
        <v>#N/A</v>
      </c>
      <c r="X960" s="219">
        <f t="shared" ca="1" si="139"/>
        <v>0</v>
      </c>
      <c r="AB960" s="220" t="str">
        <f t="shared" si="140"/>
        <v/>
      </c>
    </row>
    <row r="961" spans="1:28" s="219" customFormat="1" ht="20.25">
      <c r="A961" s="174"/>
      <c r="B961" s="175" t="str">
        <f>IF(LEN(A961)=0,"",INDEX('Smelter Look-up'!$A:$A,MATCH($A961,'Smelter Look-up'!$E:$E,0)))</f>
        <v/>
      </c>
      <c r="C961" s="179" t="str">
        <f>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38"/>
        <v/>
      </c>
      <c r="T961" s="174" t="str">
        <f ca="1">IF(B961="","",IF(ISERROR(MATCH($J961,SorP!$B$1:$B$6279,0)),"",INDIRECT("'SorP'!$A$"&amp;MATCH($S961&amp;$J961,SorP!C:C,0))))</f>
        <v/>
      </c>
      <c r="U961" s="194"/>
      <c r="V961" s="218" t="e">
        <f>IF(C961="",NA(),IF(OR(C961="Smelter not listed",C961="Smelter not yet identified"),MATCH($B961&amp;$D961,'Smelter Look-up'!$J:$J,0),MATCH($B961&amp;$C961,'Smelter Look-up'!$J:$J,0)))</f>
        <v>#N/A</v>
      </c>
      <c r="X961" s="219">
        <f t="shared" ca="1" si="139"/>
        <v>0</v>
      </c>
      <c r="AB961" s="220" t="str">
        <f t="shared" si="140"/>
        <v/>
      </c>
    </row>
    <row r="962" spans="1:28" s="219" customFormat="1" ht="20.25">
      <c r="A962" s="174"/>
      <c r="B962" s="175" t="str">
        <f>IF(LEN(A962)=0,"",INDEX('Smelter Look-up'!$A:$A,MATCH($A962,'Smelter Look-up'!$E:$E,0)))</f>
        <v/>
      </c>
      <c r="C962" s="179" t="str">
        <f>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38"/>
        <v/>
      </c>
      <c r="T962" s="174" t="str">
        <f ca="1">IF(B962="","",IF(ISERROR(MATCH($J962,SorP!$B$1:$B$6279,0)),"",INDIRECT("'SorP'!$A$"&amp;MATCH($S962&amp;$J962,SorP!C:C,0))))</f>
        <v/>
      </c>
      <c r="U962" s="194"/>
      <c r="V962" s="218" t="e">
        <f>IF(C962="",NA(),IF(OR(C962="Smelter not listed",C962="Smelter not yet identified"),MATCH($B962&amp;$D962,'Smelter Look-up'!$J:$J,0),MATCH($B962&amp;$C962,'Smelter Look-up'!$J:$J,0)))</f>
        <v>#N/A</v>
      </c>
      <c r="X962" s="219">
        <f t="shared" ca="1" si="139"/>
        <v>0</v>
      </c>
      <c r="AB962" s="220" t="str">
        <f t="shared" si="140"/>
        <v/>
      </c>
    </row>
    <row r="963" spans="1:28" s="219" customFormat="1" ht="20.25">
      <c r="A963" s="174"/>
      <c r="B963" s="175" t="str">
        <f>IF(LEN(A963)=0,"",INDEX('Smelter Look-up'!$A:$A,MATCH($A963,'Smelter Look-up'!$E:$E,0)))</f>
        <v/>
      </c>
      <c r="C963" s="179" t="str">
        <f>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38"/>
        <v/>
      </c>
      <c r="T963" s="174" t="str">
        <f ca="1">IF(B963="","",IF(ISERROR(MATCH($J963,SorP!$B$1:$B$6279,0)),"",INDIRECT("'SorP'!$A$"&amp;MATCH($S963&amp;$J963,SorP!C:C,0))))</f>
        <v/>
      </c>
      <c r="U963" s="194"/>
      <c r="V963" s="218" t="e">
        <f>IF(C963="",NA(),IF(OR(C963="Smelter not listed",C963="Smelter not yet identified"),MATCH($B963&amp;$D963,'Smelter Look-up'!$J:$J,0),MATCH($B963&amp;$C963,'Smelter Look-up'!$J:$J,0)))</f>
        <v>#N/A</v>
      </c>
      <c r="X963" s="219">
        <f t="shared" ca="1" si="139"/>
        <v>0</v>
      </c>
      <c r="AB963" s="220" t="str">
        <f t="shared" si="140"/>
        <v/>
      </c>
    </row>
    <row r="964" spans="1:28" s="219" customFormat="1" ht="20.25">
      <c r="A964" s="174"/>
      <c r="B964" s="175" t="str">
        <f>IF(LEN(A964)=0,"",INDEX('Smelter Look-up'!$A:$A,MATCH($A964,'Smelter Look-up'!$E:$E,0)))</f>
        <v/>
      </c>
      <c r="C964" s="179" t="str">
        <f>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38"/>
        <v/>
      </c>
      <c r="T964" s="174" t="str">
        <f ca="1">IF(B964="","",IF(ISERROR(MATCH($J964,SorP!$B$1:$B$6279,0)),"",INDIRECT("'SorP'!$A$"&amp;MATCH($S964&amp;$J964,SorP!C:C,0))))</f>
        <v/>
      </c>
      <c r="U964" s="194"/>
      <c r="V964" s="218" t="e">
        <f>IF(C964="",NA(),IF(OR(C964="Smelter not listed",C964="Smelter not yet identified"),MATCH($B964&amp;$D964,'Smelter Look-up'!$J:$J,0),MATCH($B964&amp;$C964,'Smelter Look-up'!$J:$J,0)))</f>
        <v>#N/A</v>
      </c>
      <c r="X964" s="219">
        <f t="shared" ca="1" si="139"/>
        <v>0</v>
      </c>
      <c r="AB964" s="220" t="str">
        <f t="shared" si="140"/>
        <v/>
      </c>
    </row>
    <row r="965" spans="1:28" s="219" customFormat="1" ht="20.25">
      <c r="A965" s="174"/>
      <c r="B965" s="175" t="str">
        <f>IF(LEN(A965)=0,"",INDEX('Smelter Look-up'!$A:$A,MATCH($A965,'Smelter Look-up'!$E:$E,0)))</f>
        <v/>
      </c>
      <c r="C965" s="179" t="str">
        <f>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38"/>
        <v/>
      </c>
      <c r="T965" s="174" t="str">
        <f ca="1">IF(B965="","",IF(ISERROR(MATCH($J965,SorP!$B$1:$B$6279,0)),"",INDIRECT("'SorP'!$A$"&amp;MATCH($S965&amp;$J965,SorP!C:C,0))))</f>
        <v/>
      </c>
      <c r="U965" s="194"/>
      <c r="V965" s="218" t="e">
        <f>IF(C965="",NA(),IF(OR(C965="Smelter not listed",C965="Smelter not yet identified"),MATCH($B965&amp;$D965,'Smelter Look-up'!$J:$J,0),MATCH($B965&amp;$C965,'Smelter Look-up'!$J:$J,0)))</f>
        <v>#N/A</v>
      </c>
      <c r="X965" s="219">
        <f t="shared" ca="1" si="139"/>
        <v>0</v>
      </c>
      <c r="AB965" s="220" t="str">
        <f t="shared" si="140"/>
        <v/>
      </c>
    </row>
    <row r="966" spans="1:28" s="219" customFormat="1" ht="20.25">
      <c r="A966" s="174"/>
      <c r="B966" s="175" t="str">
        <f>IF(LEN(A966)=0,"",INDEX('Smelter Look-up'!$A:$A,MATCH($A966,'Smelter Look-up'!$E:$E,0)))</f>
        <v/>
      </c>
      <c r="C966" s="179" t="str">
        <f>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38"/>
        <v/>
      </c>
      <c r="T966" s="174" t="str">
        <f ca="1">IF(B966="","",IF(ISERROR(MATCH($J966,SorP!$B$1:$B$6279,0)),"",INDIRECT("'SorP'!$A$"&amp;MATCH($S966&amp;$J966,SorP!C:C,0))))</f>
        <v/>
      </c>
      <c r="U966" s="194"/>
      <c r="V966" s="218" t="e">
        <f>IF(C966="",NA(),IF(OR(C966="Smelter not listed",C966="Smelter not yet identified"),MATCH($B966&amp;$D966,'Smelter Look-up'!$J:$J,0),MATCH($B966&amp;$C966,'Smelter Look-up'!$J:$J,0)))</f>
        <v>#N/A</v>
      </c>
      <c r="X966" s="219">
        <f t="shared" ca="1" si="139"/>
        <v>0</v>
      </c>
      <c r="AB966" s="220" t="str">
        <f t="shared" si="140"/>
        <v/>
      </c>
    </row>
    <row r="967" spans="1:28" s="219" customFormat="1" ht="20.25">
      <c r="A967" s="174"/>
      <c r="B967" s="175" t="str">
        <f>IF(LEN(A967)=0,"",INDEX('Smelter Look-up'!$A:$A,MATCH($A967,'Smelter Look-up'!$E:$E,0)))</f>
        <v/>
      </c>
      <c r="C967" s="179" t="str">
        <f>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38"/>
        <v/>
      </c>
      <c r="T967" s="174" t="str">
        <f ca="1">IF(B967="","",IF(ISERROR(MATCH($J967,SorP!$B$1:$B$6279,0)),"",INDIRECT("'SorP'!$A$"&amp;MATCH($S967&amp;$J967,SorP!C:C,0))))</f>
        <v/>
      </c>
      <c r="U967" s="194"/>
      <c r="V967" s="218" t="e">
        <f>IF(C967="",NA(),IF(OR(C967="Smelter not listed",C967="Smelter not yet identified"),MATCH($B967&amp;$D967,'Smelter Look-up'!$J:$J,0),MATCH($B967&amp;$C967,'Smelter Look-up'!$J:$J,0)))</f>
        <v>#N/A</v>
      </c>
      <c r="X967" s="219">
        <f t="shared" ca="1" si="139"/>
        <v>0</v>
      </c>
      <c r="AB967" s="220" t="str">
        <f t="shared" si="140"/>
        <v/>
      </c>
    </row>
    <row r="968" spans="1:28" s="219" customFormat="1" ht="20.25">
      <c r="A968" s="174"/>
      <c r="B968" s="175" t="str">
        <f>IF(LEN(A968)=0,"",INDEX('Smelter Look-up'!$A:$A,MATCH($A968,'Smelter Look-up'!$E:$E,0)))</f>
        <v/>
      </c>
      <c r="C968" s="179" t="str">
        <f>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38"/>
        <v/>
      </c>
      <c r="T968" s="174" t="str">
        <f ca="1">IF(B968="","",IF(ISERROR(MATCH($J968,SorP!$B$1:$B$6279,0)),"",INDIRECT("'SorP'!$A$"&amp;MATCH($S968&amp;$J968,SorP!C:C,0))))</f>
        <v/>
      </c>
      <c r="U968" s="194"/>
      <c r="V968" s="218" t="e">
        <f>IF(C968="",NA(),IF(OR(C968="Smelter not listed",C968="Smelter not yet identified"),MATCH($B968&amp;$D968,'Smelter Look-up'!$J:$J,0),MATCH($B968&amp;$C968,'Smelter Look-up'!$J:$J,0)))</f>
        <v>#N/A</v>
      </c>
      <c r="X968" s="219">
        <f t="shared" ca="1" si="139"/>
        <v>0</v>
      </c>
      <c r="AB968" s="220" t="str">
        <f t="shared" si="140"/>
        <v/>
      </c>
    </row>
    <row r="969" spans="1:28" s="219" customFormat="1" ht="20.25">
      <c r="A969" s="174"/>
      <c r="B969" s="175" t="str">
        <f>IF(LEN(A969)=0,"",INDEX('Smelter Look-up'!$A:$A,MATCH($A969,'Smelter Look-up'!$E:$E,0)))</f>
        <v/>
      </c>
      <c r="C969" s="179" t="str">
        <f>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38"/>
        <v/>
      </c>
      <c r="T969" s="174" t="str">
        <f ca="1">IF(B969="","",IF(ISERROR(MATCH($J969,SorP!$B$1:$B$6279,0)),"",INDIRECT("'SorP'!$A$"&amp;MATCH($S969&amp;$J969,SorP!C:C,0))))</f>
        <v/>
      </c>
      <c r="U969" s="194"/>
      <c r="V969" s="218" t="e">
        <f>IF(C969="",NA(),IF(OR(C969="Smelter not listed",C969="Smelter not yet identified"),MATCH($B969&amp;$D969,'Smelter Look-up'!$J:$J,0),MATCH($B969&amp;$C969,'Smelter Look-up'!$J:$J,0)))</f>
        <v>#N/A</v>
      </c>
      <c r="X969" s="219">
        <f t="shared" ca="1" si="139"/>
        <v>0</v>
      </c>
      <c r="AB969" s="220" t="str">
        <f t="shared" si="140"/>
        <v/>
      </c>
    </row>
    <row r="970" spans="1:28" s="219" customFormat="1" ht="20.25">
      <c r="A970" s="174"/>
      <c r="B970" s="175" t="str">
        <f>IF(LEN(A970)=0,"",INDEX('Smelter Look-up'!$A:$A,MATCH($A970,'Smelter Look-up'!$E:$E,0)))</f>
        <v/>
      </c>
      <c r="C970" s="179" t="str">
        <f>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38"/>
        <v/>
      </c>
      <c r="T970" s="174" t="str">
        <f ca="1">IF(B970="","",IF(ISERROR(MATCH($J970,SorP!$B$1:$B$6279,0)),"",INDIRECT("'SorP'!$A$"&amp;MATCH($S970&amp;$J970,SorP!C:C,0))))</f>
        <v/>
      </c>
      <c r="U970" s="194"/>
      <c r="V970" s="218" t="e">
        <f>IF(C970="",NA(),IF(OR(C970="Smelter not listed",C970="Smelter not yet identified"),MATCH($B970&amp;$D970,'Smelter Look-up'!$J:$J,0),MATCH($B970&amp;$C970,'Smelter Look-up'!$J:$J,0)))</f>
        <v>#N/A</v>
      </c>
      <c r="X970" s="219">
        <f t="shared" ca="1" si="139"/>
        <v>0</v>
      </c>
      <c r="AB970" s="220" t="str">
        <f t="shared" si="140"/>
        <v/>
      </c>
    </row>
    <row r="971" spans="1:28" s="219" customFormat="1" ht="20.25">
      <c r="A971" s="174"/>
      <c r="B971" s="175" t="str">
        <f>IF(LEN(A971)=0,"",INDEX('Smelter Look-up'!$A:$A,MATCH($A971,'Smelter Look-up'!$E:$E,0)))</f>
        <v/>
      </c>
      <c r="C971" s="179" t="str">
        <f>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38"/>
        <v/>
      </c>
      <c r="T971" s="174" t="str">
        <f ca="1">IF(B971="","",IF(ISERROR(MATCH($J971,SorP!$B$1:$B$6279,0)),"",INDIRECT("'SorP'!$A$"&amp;MATCH($S971&amp;$J971,SorP!C:C,0))))</f>
        <v/>
      </c>
      <c r="U971" s="194"/>
      <c r="V971" s="218" t="e">
        <f>IF(C971="",NA(),IF(OR(C971="Smelter not listed",C971="Smelter not yet identified"),MATCH($B971&amp;$D971,'Smelter Look-up'!$J:$J,0),MATCH($B971&amp;$C971,'Smelter Look-up'!$J:$J,0)))</f>
        <v>#N/A</v>
      </c>
      <c r="X971" s="219">
        <f t="shared" ca="1" si="139"/>
        <v>0</v>
      </c>
      <c r="AB971" s="220" t="str">
        <f t="shared" si="140"/>
        <v/>
      </c>
    </row>
    <row r="972" spans="1:28" s="219" customFormat="1" ht="20.25">
      <c r="A972" s="174"/>
      <c r="B972" s="175" t="str">
        <f>IF(LEN(A972)=0,"",INDEX('Smelter Look-up'!$A:$A,MATCH($A972,'Smelter Look-up'!$E:$E,0)))</f>
        <v/>
      </c>
      <c r="C972" s="179" t="str">
        <f>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38"/>
        <v/>
      </c>
      <c r="T972" s="174" t="str">
        <f ca="1">IF(B972="","",IF(ISERROR(MATCH($J972,SorP!$B$1:$B$6279,0)),"",INDIRECT("'SorP'!$A$"&amp;MATCH($S972&amp;$J972,SorP!C:C,0))))</f>
        <v/>
      </c>
      <c r="U972" s="194"/>
      <c r="V972" s="218" t="e">
        <f>IF(C972="",NA(),IF(OR(C972="Smelter not listed",C972="Smelter not yet identified"),MATCH($B972&amp;$D972,'Smelter Look-up'!$J:$J,0),MATCH($B972&amp;$C972,'Smelter Look-up'!$J:$J,0)))</f>
        <v>#N/A</v>
      </c>
      <c r="X972" s="219">
        <f t="shared" ca="1" si="139"/>
        <v>0</v>
      </c>
      <c r="AB972" s="220" t="str">
        <f t="shared" si="140"/>
        <v/>
      </c>
    </row>
    <row r="973" spans="1:28" s="219" customFormat="1" ht="20.25">
      <c r="A973" s="174"/>
      <c r="B973" s="175" t="str">
        <f>IF(LEN(A973)=0,"",INDEX('Smelter Look-up'!$A:$A,MATCH($A973,'Smelter Look-up'!$E:$E,0)))</f>
        <v/>
      </c>
      <c r="C973" s="179" t="str">
        <f>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38"/>
        <v/>
      </c>
      <c r="T973" s="174" t="str">
        <f ca="1">IF(B973="","",IF(ISERROR(MATCH($J973,SorP!$B$1:$B$6279,0)),"",INDIRECT("'SorP'!$A$"&amp;MATCH($S973&amp;$J973,SorP!C:C,0))))</f>
        <v/>
      </c>
      <c r="U973" s="194"/>
      <c r="V973" s="218" t="e">
        <f>IF(C973="",NA(),IF(OR(C973="Smelter not listed",C973="Smelter not yet identified"),MATCH($B973&amp;$D973,'Smelter Look-up'!$J:$J,0),MATCH($B973&amp;$C973,'Smelter Look-up'!$J:$J,0)))</f>
        <v>#N/A</v>
      </c>
      <c r="X973" s="219">
        <f t="shared" ca="1" si="139"/>
        <v>0</v>
      </c>
      <c r="AB973" s="220" t="str">
        <f t="shared" si="140"/>
        <v/>
      </c>
    </row>
    <row r="974" spans="1:28" s="219" customFormat="1" ht="20.25">
      <c r="A974" s="174"/>
      <c r="B974" s="175" t="str">
        <f>IF(LEN(A974)=0,"",INDEX('Smelter Look-up'!$A:$A,MATCH($A974,'Smelter Look-up'!$E:$E,0)))</f>
        <v/>
      </c>
      <c r="C974" s="179" t="str">
        <f>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38"/>
        <v/>
      </c>
      <c r="T974" s="174" t="str">
        <f ca="1">IF(B974="","",IF(ISERROR(MATCH($J974,SorP!$B$1:$B$6279,0)),"",INDIRECT("'SorP'!$A$"&amp;MATCH($S974&amp;$J974,SorP!C:C,0))))</f>
        <v/>
      </c>
      <c r="U974" s="194"/>
      <c r="V974" s="218" t="e">
        <f>IF(C974="",NA(),IF(OR(C974="Smelter not listed",C974="Smelter not yet identified"),MATCH($B974&amp;$D974,'Smelter Look-up'!$J:$J,0),MATCH($B974&amp;$C974,'Smelter Look-up'!$J:$J,0)))</f>
        <v>#N/A</v>
      </c>
      <c r="X974" s="219">
        <f t="shared" ca="1" si="139"/>
        <v>0</v>
      </c>
      <c r="AB974" s="220" t="str">
        <f t="shared" si="140"/>
        <v/>
      </c>
    </row>
    <row r="975" spans="1:28" s="219" customFormat="1" ht="20.25">
      <c r="A975" s="174"/>
      <c r="B975" s="175" t="str">
        <f>IF(LEN(A975)=0,"",INDEX('Smelter Look-up'!$A:$A,MATCH($A975,'Smelter Look-up'!$E:$E,0)))</f>
        <v/>
      </c>
      <c r="C975" s="179" t="str">
        <f>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38"/>
        <v/>
      </c>
      <c r="T975" s="174" t="str">
        <f ca="1">IF(B975="","",IF(ISERROR(MATCH($J975,SorP!$B$1:$B$6279,0)),"",INDIRECT("'SorP'!$A$"&amp;MATCH($S975&amp;$J975,SorP!C:C,0))))</f>
        <v/>
      </c>
      <c r="U975" s="194"/>
      <c r="V975" s="218" t="e">
        <f>IF(C975="",NA(),IF(OR(C975="Smelter not listed",C975="Smelter not yet identified"),MATCH($B975&amp;$D975,'Smelter Look-up'!$J:$J,0),MATCH($B975&amp;$C975,'Smelter Look-up'!$J:$J,0)))</f>
        <v>#N/A</v>
      </c>
      <c r="X975" s="219">
        <f t="shared" ca="1" si="139"/>
        <v>0</v>
      </c>
      <c r="AB975" s="220" t="str">
        <f t="shared" si="140"/>
        <v/>
      </c>
    </row>
    <row r="976" spans="1:28" s="219" customFormat="1" ht="20.25">
      <c r="A976" s="174"/>
      <c r="B976" s="175" t="str">
        <f>IF(LEN(A976)=0,"",INDEX('Smelter Look-up'!$A:$A,MATCH($A976,'Smelter Look-up'!$E:$E,0)))</f>
        <v/>
      </c>
      <c r="C976" s="179" t="str">
        <f>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38"/>
        <v/>
      </c>
      <c r="T976" s="174" t="str">
        <f ca="1">IF(B976="","",IF(ISERROR(MATCH($J976,SorP!$B$1:$B$6279,0)),"",INDIRECT("'SorP'!$A$"&amp;MATCH($S976&amp;$J976,SorP!C:C,0))))</f>
        <v/>
      </c>
      <c r="U976" s="194"/>
      <c r="V976" s="218" t="e">
        <f>IF(C976="",NA(),IF(OR(C976="Smelter not listed",C976="Smelter not yet identified"),MATCH($B976&amp;$D976,'Smelter Look-up'!$J:$J,0),MATCH($B976&amp;$C976,'Smelter Look-up'!$J:$J,0)))</f>
        <v>#N/A</v>
      </c>
      <c r="X976" s="219">
        <f t="shared" ca="1" si="139"/>
        <v>0</v>
      </c>
      <c r="AB976" s="220" t="str">
        <f t="shared" si="140"/>
        <v/>
      </c>
    </row>
    <row r="977" spans="1:28" s="219" customFormat="1" ht="20.25">
      <c r="A977" s="174"/>
      <c r="B977" s="175" t="str">
        <f>IF(LEN(A977)=0,"",INDEX('Smelter Look-up'!$A:$A,MATCH($A977,'Smelter Look-up'!$E:$E,0)))</f>
        <v/>
      </c>
      <c r="C977" s="179" t="str">
        <f>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38"/>
        <v/>
      </c>
      <c r="T977" s="174" t="str">
        <f ca="1">IF(B977="","",IF(ISERROR(MATCH($J977,SorP!$B$1:$B$6279,0)),"",INDIRECT("'SorP'!$A$"&amp;MATCH($S977&amp;$J977,SorP!C:C,0))))</f>
        <v/>
      </c>
      <c r="U977" s="194"/>
      <c r="V977" s="218" t="e">
        <f>IF(C977="",NA(),IF(OR(C977="Smelter not listed",C977="Smelter not yet identified"),MATCH($B977&amp;$D977,'Smelter Look-up'!$J:$J,0),MATCH($B977&amp;$C977,'Smelter Look-up'!$J:$J,0)))</f>
        <v>#N/A</v>
      </c>
      <c r="X977" s="219">
        <f t="shared" ca="1" si="139"/>
        <v>0</v>
      </c>
      <c r="AB977" s="220" t="str">
        <f t="shared" si="140"/>
        <v/>
      </c>
    </row>
    <row r="978" spans="1:28" s="219" customFormat="1" ht="20.25">
      <c r="A978" s="174"/>
      <c r="B978" s="175" t="str">
        <f>IF(LEN(A978)=0,"",INDEX('Smelter Look-up'!$A:$A,MATCH($A978,'Smelter Look-up'!$E:$E,0)))</f>
        <v/>
      </c>
      <c r="C978" s="179" t="str">
        <f>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138"/>
        <v/>
      </c>
      <c r="T978" s="174" t="str">
        <f ca="1">IF(B978="","",IF(ISERROR(MATCH($J978,SorP!$B$1:$B$6279,0)),"",INDIRECT("'SorP'!$A$"&amp;MATCH($S978&amp;$J978,SorP!C:C,0))))</f>
        <v/>
      </c>
      <c r="U978" s="194"/>
      <c r="V978" s="218" t="e">
        <f>IF(C978="",NA(),IF(OR(C978="Smelter not listed",C978="Smelter not yet identified"),MATCH($B978&amp;$D978,'Smelter Look-up'!$J:$J,0),MATCH($B978&amp;$C978,'Smelter Look-up'!$J:$J,0)))</f>
        <v>#N/A</v>
      </c>
      <c r="X978" s="219">
        <f t="shared" ca="1" si="139"/>
        <v>0</v>
      </c>
      <c r="AB978" s="220" t="str">
        <f t="shared" si="140"/>
        <v/>
      </c>
    </row>
    <row r="979" spans="1:28" s="219" customFormat="1" ht="20.25">
      <c r="A979" s="174"/>
      <c r="B979" s="175" t="str">
        <f>IF(LEN(A979)=0,"",INDEX('Smelter Look-up'!$A:$A,MATCH($A979,'Smelter Look-up'!$E:$E,0)))</f>
        <v/>
      </c>
      <c r="C979" s="179" t="str">
        <f>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138"/>
        <v/>
      </c>
      <c r="T979" s="174" t="str">
        <f ca="1">IF(B979="","",IF(ISERROR(MATCH($J979,SorP!$B$1:$B$6279,0)),"",INDIRECT("'SorP'!$A$"&amp;MATCH($S979&amp;$J979,SorP!C:C,0))))</f>
        <v/>
      </c>
      <c r="U979" s="194"/>
      <c r="V979" s="218" t="e">
        <f>IF(C979="",NA(),IF(OR(C979="Smelter not listed",C979="Smelter not yet identified"),MATCH($B979&amp;$D979,'Smelter Look-up'!$J:$J,0),MATCH($B979&amp;$C979,'Smelter Look-up'!$J:$J,0)))</f>
        <v>#N/A</v>
      </c>
      <c r="X979" s="219">
        <f t="shared" ca="1" si="139"/>
        <v>0</v>
      </c>
      <c r="AB979" s="220" t="str">
        <f t="shared" si="140"/>
        <v/>
      </c>
    </row>
    <row r="980" spans="1:28" s="219" customFormat="1" ht="20.25">
      <c r="A980" s="174"/>
      <c r="B980" s="175" t="str">
        <f>IF(LEN(A980)=0,"",INDEX('Smelter Look-up'!$A:$A,MATCH($A980,'Smelter Look-up'!$E:$E,0)))</f>
        <v/>
      </c>
      <c r="C980" s="179" t="str">
        <f>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38"/>
        <v/>
      </c>
      <c r="T980" s="174" t="str">
        <f ca="1">IF(B980="","",IF(ISERROR(MATCH($J980,SorP!$B$1:$B$6279,0)),"",INDIRECT("'SorP'!$A$"&amp;MATCH($S980&amp;$J980,SorP!C:C,0))))</f>
        <v/>
      </c>
      <c r="U980" s="194"/>
      <c r="V980" s="218" t="e">
        <f>IF(C980="",NA(),IF(OR(C980="Smelter not listed",C980="Smelter not yet identified"),MATCH($B980&amp;$D980,'Smelter Look-up'!$J:$J,0),MATCH($B980&amp;$C980,'Smelter Look-up'!$J:$J,0)))</f>
        <v>#N/A</v>
      </c>
      <c r="X980" s="219">
        <f t="shared" ca="1" si="139"/>
        <v>0</v>
      </c>
      <c r="AB980" s="220" t="str">
        <f t="shared" si="140"/>
        <v/>
      </c>
    </row>
    <row r="981" spans="1:28" s="219" customFormat="1" ht="20.25">
      <c r="A981" s="174"/>
      <c r="B981" s="175" t="str">
        <f>IF(LEN(A981)=0,"",INDEX('Smelter Look-up'!$A:$A,MATCH($A981,'Smelter Look-up'!$E:$E,0)))</f>
        <v/>
      </c>
      <c r="C981" s="179" t="str">
        <f>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38"/>
        <v/>
      </c>
      <c r="T981" s="174" t="str">
        <f ca="1">IF(B981="","",IF(ISERROR(MATCH($J981,SorP!$B$1:$B$6279,0)),"",INDIRECT("'SorP'!$A$"&amp;MATCH($S981&amp;$J981,SorP!C:C,0))))</f>
        <v/>
      </c>
      <c r="U981" s="194"/>
      <c r="V981" s="218" t="e">
        <f>IF(C981="",NA(),IF(OR(C981="Smelter not listed",C981="Smelter not yet identified"),MATCH($B981&amp;$D981,'Smelter Look-up'!$J:$J,0),MATCH($B981&amp;$C981,'Smelter Look-up'!$J:$J,0)))</f>
        <v>#N/A</v>
      </c>
      <c r="X981" s="219">
        <f t="shared" ca="1" si="139"/>
        <v>0</v>
      </c>
      <c r="AB981" s="220" t="str">
        <f t="shared" si="140"/>
        <v/>
      </c>
    </row>
    <row r="982" spans="1:28" s="219" customFormat="1" ht="20.25">
      <c r="A982" s="174"/>
      <c r="B982" s="175" t="str">
        <f>IF(LEN(A982)=0,"",INDEX('Smelter Look-up'!$A:$A,MATCH($A982,'Smelter Look-up'!$E:$E,0)))</f>
        <v/>
      </c>
      <c r="C982" s="179" t="str">
        <f>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38"/>
        <v/>
      </c>
      <c r="T982" s="174" t="str">
        <f ca="1">IF(B982="","",IF(ISERROR(MATCH($J982,SorP!$B$1:$B$6279,0)),"",INDIRECT("'SorP'!$A$"&amp;MATCH($S982&amp;$J982,SorP!C:C,0))))</f>
        <v/>
      </c>
      <c r="U982" s="194"/>
      <c r="V982" s="218" t="e">
        <f>IF(C982="",NA(),IF(OR(C982="Smelter not listed",C982="Smelter not yet identified"),MATCH($B982&amp;$D982,'Smelter Look-up'!$J:$J,0),MATCH($B982&amp;$C982,'Smelter Look-up'!$J:$J,0)))</f>
        <v>#N/A</v>
      </c>
      <c r="X982" s="219">
        <f t="shared" ca="1" si="139"/>
        <v>0</v>
      </c>
      <c r="AB982" s="220" t="str">
        <f t="shared" si="140"/>
        <v/>
      </c>
    </row>
    <row r="983" spans="1:28" s="219" customFormat="1" ht="20.25">
      <c r="A983" s="174"/>
      <c r="B983" s="175" t="str">
        <f>IF(LEN(A983)=0,"",INDEX('Smelter Look-up'!$A:$A,MATCH($A983,'Smelter Look-up'!$E:$E,0)))</f>
        <v/>
      </c>
      <c r="C983" s="179" t="str">
        <f>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38"/>
        <v/>
      </c>
      <c r="T983" s="174" t="str">
        <f ca="1">IF(B983="","",IF(ISERROR(MATCH($J983,SorP!$B$1:$B$6279,0)),"",INDIRECT("'SorP'!$A$"&amp;MATCH($S983&amp;$J983,SorP!C:C,0))))</f>
        <v/>
      </c>
      <c r="U983" s="194"/>
      <c r="V983" s="218" t="e">
        <f>IF(C983="",NA(),IF(OR(C983="Smelter not listed",C983="Smelter not yet identified"),MATCH($B983&amp;$D983,'Smelter Look-up'!$J:$J,0),MATCH($B983&amp;$C983,'Smelter Look-up'!$J:$J,0)))</f>
        <v>#N/A</v>
      </c>
      <c r="X983" s="219">
        <f t="shared" ca="1" si="139"/>
        <v>0</v>
      </c>
      <c r="AB983" s="220" t="str">
        <f t="shared" si="140"/>
        <v/>
      </c>
    </row>
    <row r="984" spans="1:28" s="219" customFormat="1" ht="20.25">
      <c r="A984" s="174"/>
      <c r="B984" s="175" t="str">
        <f>IF(LEN(A984)=0,"",INDEX('Smelter Look-up'!$A:$A,MATCH($A984,'Smelter Look-up'!$E:$E,0)))</f>
        <v/>
      </c>
      <c r="C984" s="179" t="str">
        <f>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38"/>
        <v/>
      </c>
      <c r="T984" s="174" t="str">
        <f ca="1">IF(B984="","",IF(ISERROR(MATCH($J984,SorP!$B$1:$B$6279,0)),"",INDIRECT("'SorP'!$A$"&amp;MATCH($S984&amp;$J984,SorP!C:C,0))))</f>
        <v/>
      </c>
      <c r="U984" s="194"/>
      <c r="V984" s="218" t="e">
        <f>IF(C984="",NA(),IF(OR(C984="Smelter not listed",C984="Smelter not yet identified"),MATCH($B984&amp;$D984,'Smelter Look-up'!$J:$J,0),MATCH($B984&amp;$C984,'Smelter Look-up'!$J:$J,0)))</f>
        <v>#N/A</v>
      </c>
      <c r="X984" s="219">
        <f t="shared" ca="1" si="139"/>
        <v>0</v>
      </c>
      <c r="AB984" s="220" t="str">
        <f t="shared" si="140"/>
        <v/>
      </c>
    </row>
    <row r="985" spans="1:28" s="219" customFormat="1" ht="20.25">
      <c r="A985" s="174"/>
      <c r="B985" s="175" t="str">
        <f>IF(LEN(A985)=0,"",INDEX('Smelter Look-up'!$A:$A,MATCH($A985,'Smelter Look-up'!$E:$E,0)))</f>
        <v/>
      </c>
      <c r="C985" s="179" t="str">
        <f>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38"/>
        <v/>
      </c>
      <c r="T985" s="174" t="str">
        <f ca="1">IF(B985="","",IF(ISERROR(MATCH($J985,SorP!$B$1:$B$6279,0)),"",INDIRECT("'SorP'!$A$"&amp;MATCH($S985&amp;$J985,SorP!C:C,0))))</f>
        <v/>
      </c>
      <c r="U985" s="194"/>
      <c r="V985" s="218" t="e">
        <f>IF(C985="",NA(),IF(OR(C985="Smelter not listed",C985="Smelter not yet identified"),MATCH($B985&amp;$D985,'Smelter Look-up'!$J:$J,0),MATCH($B985&amp;$C985,'Smelter Look-up'!$J:$J,0)))</f>
        <v>#N/A</v>
      </c>
      <c r="X985" s="219">
        <f t="shared" ca="1" si="139"/>
        <v>0</v>
      </c>
      <c r="AB985" s="220" t="str">
        <f t="shared" si="140"/>
        <v/>
      </c>
    </row>
    <row r="986" spans="1:28" s="219" customFormat="1" ht="20.25">
      <c r="A986" s="174"/>
      <c r="B986" s="175" t="str">
        <f>IF(LEN(A986)=0,"",INDEX('Smelter Look-up'!$A:$A,MATCH($A986,'Smelter Look-up'!$E:$E,0)))</f>
        <v/>
      </c>
      <c r="C986" s="179" t="str">
        <f>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138"/>
        <v/>
      </c>
      <c r="T986" s="174" t="str">
        <f ca="1">IF(B986="","",IF(ISERROR(MATCH($J986,SorP!$B$1:$B$6279,0)),"",INDIRECT("'SorP'!$A$"&amp;MATCH($S986&amp;$J986,SorP!C:C,0))))</f>
        <v/>
      </c>
      <c r="U986" s="194"/>
      <c r="V986" s="218" t="e">
        <f>IF(C986="",NA(),IF(OR(C986="Smelter not listed",C986="Smelter not yet identified"),MATCH($B986&amp;$D986,'Smelter Look-up'!$J:$J,0),MATCH($B986&amp;$C986,'Smelter Look-up'!$J:$J,0)))</f>
        <v>#N/A</v>
      </c>
      <c r="X986" s="219">
        <f t="shared" ca="1" si="139"/>
        <v>0</v>
      </c>
      <c r="AB986" s="220" t="str">
        <f t="shared" si="140"/>
        <v/>
      </c>
    </row>
    <row r="987" spans="1:28" s="219" customFormat="1" ht="20.25">
      <c r="A987" s="174"/>
      <c r="B987" s="175" t="str">
        <f>IF(LEN(A987)=0,"",INDEX('Smelter Look-up'!$A:$A,MATCH($A987,'Smelter Look-up'!$E:$E,0)))</f>
        <v/>
      </c>
      <c r="C987" s="179" t="str">
        <f>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138"/>
        <v/>
      </c>
      <c r="T987" s="174" t="str">
        <f ca="1">IF(B987="","",IF(ISERROR(MATCH($J987,SorP!$B$1:$B$6279,0)),"",INDIRECT("'SorP'!$A$"&amp;MATCH($S987&amp;$J987,SorP!C:C,0))))</f>
        <v/>
      </c>
      <c r="U987" s="194"/>
      <c r="V987" s="218" t="e">
        <f>IF(C987="",NA(),IF(OR(C987="Smelter not listed",C987="Smelter not yet identified"),MATCH($B987&amp;$D987,'Smelter Look-up'!$J:$J,0),MATCH($B987&amp;$C987,'Smelter Look-up'!$J:$J,0)))</f>
        <v>#N/A</v>
      </c>
      <c r="X987" s="219">
        <f t="shared" ca="1" si="139"/>
        <v>0</v>
      </c>
      <c r="AB987" s="220" t="str">
        <f t="shared" si="140"/>
        <v/>
      </c>
    </row>
    <row r="988" spans="1:28" s="219" customFormat="1" ht="20.25">
      <c r="A988" s="174"/>
      <c r="B988" s="175" t="str">
        <f>IF(LEN(A988)=0,"",INDEX('Smelter Look-up'!$A:$A,MATCH($A988,'Smelter Look-up'!$E:$E,0)))</f>
        <v/>
      </c>
      <c r="C988" s="179" t="str">
        <f>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ref="S988:S1018" ca="1" si="141">IF(B988="","",IF(ISERROR(MATCH($E988,CL,0)),"Unknown",INDIRECT("'C'!$A$"&amp;MATCH($E988,CL,0)+1)))</f>
        <v/>
      </c>
      <c r="T988" s="174" t="str">
        <f ca="1">IF(B988="","",IF(ISERROR(MATCH($J988,SorP!$B$1:$B$6279,0)),"",INDIRECT("'SorP'!$A$"&amp;MATCH($S988&amp;$J988,SorP!C:C,0))))</f>
        <v/>
      </c>
      <c r="U988" s="194"/>
      <c r="V988" s="218" t="e">
        <f>IF(C988="",NA(),IF(OR(C988="Smelter not listed",C988="Smelter not yet identified"),MATCH($B988&amp;$D988,'Smelter Look-up'!$J:$J,0),MATCH($B988&amp;$C988,'Smelter Look-up'!$J:$J,0)))</f>
        <v>#N/A</v>
      </c>
      <c r="X988" s="219">
        <f t="shared" ref="X988:X1018" ca="1" si="142">IF(AND(C988="Smelter not listed",OR(LEN(D988)=0,LEN(E988)=0)),1,0)</f>
        <v>0</v>
      </c>
      <c r="AB988" s="220" t="str">
        <f t="shared" ref="AB988:AB1018" si="143">B988&amp;C988</f>
        <v/>
      </c>
    </row>
    <row r="989" spans="1:28" s="219" customFormat="1" ht="20.25">
      <c r="A989" s="174"/>
      <c r="B989" s="175" t="str">
        <f>IF(LEN(A989)=0,"",INDEX('Smelter Look-up'!$A:$A,MATCH($A989,'Smelter Look-up'!$E:$E,0)))</f>
        <v/>
      </c>
      <c r="C989" s="179" t="str">
        <f>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41"/>
        <v/>
      </c>
      <c r="T989" s="174" t="str">
        <f ca="1">IF(B989="","",IF(ISERROR(MATCH($J989,SorP!$B$1:$B$6279,0)),"",INDIRECT("'SorP'!$A$"&amp;MATCH($S989&amp;$J989,SorP!C:C,0))))</f>
        <v/>
      </c>
      <c r="U989" s="194"/>
      <c r="V989" s="218" t="e">
        <f>IF(C989="",NA(),IF(OR(C989="Smelter not listed",C989="Smelter not yet identified"),MATCH($B989&amp;$D989,'Smelter Look-up'!$J:$J,0),MATCH($B989&amp;$C989,'Smelter Look-up'!$J:$J,0)))</f>
        <v>#N/A</v>
      </c>
      <c r="X989" s="219">
        <f t="shared" ca="1" si="142"/>
        <v>0</v>
      </c>
      <c r="AB989" s="220" t="str">
        <f t="shared" si="143"/>
        <v/>
      </c>
    </row>
    <row r="990" spans="1:28" s="219" customFormat="1" ht="20.25">
      <c r="A990" s="174"/>
      <c r="B990" s="175" t="str">
        <f>IF(LEN(A990)=0,"",INDEX('Smelter Look-up'!$A:$A,MATCH($A990,'Smelter Look-up'!$E:$E,0)))</f>
        <v/>
      </c>
      <c r="C990" s="179" t="str">
        <f>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41"/>
        <v/>
      </c>
      <c r="T990" s="174" t="str">
        <f ca="1">IF(B990="","",IF(ISERROR(MATCH($J990,SorP!$B$1:$B$6279,0)),"",INDIRECT("'SorP'!$A$"&amp;MATCH($S990&amp;$J990,SorP!C:C,0))))</f>
        <v/>
      </c>
      <c r="U990" s="194"/>
      <c r="V990" s="218" t="e">
        <f>IF(C990="",NA(),IF(OR(C990="Smelter not listed",C990="Smelter not yet identified"),MATCH($B990&amp;$D990,'Smelter Look-up'!$J:$J,0),MATCH($B990&amp;$C990,'Smelter Look-up'!$J:$J,0)))</f>
        <v>#N/A</v>
      </c>
      <c r="X990" s="219">
        <f t="shared" ca="1" si="142"/>
        <v>0</v>
      </c>
      <c r="AB990" s="220" t="str">
        <f t="shared" si="143"/>
        <v/>
      </c>
    </row>
    <row r="991" spans="1:28" s="219" customFormat="1" ht="20.25">
      <c r="A991" s="174"/>
      <c r="B991" s="175" t="str">
        <f>IF(LEN(A991)=0,"",INDEX('Smelter Look-up'!$A:$A,MATCH($A991,'Smelter Look-up'!$E:$E,0)))</f>
        <v/>
      </c>
      <c r="C991" s="179" t="str">
        <f>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41"/>
        <v/>
      </c>
      <c r="T991" s="174" t="str">
        <f ca="1">IF(B991="","",IF(ISERROR(MATCH($J991,SorP!$B$1:$B$6279,0)),"",INDIRECT("'SorP'!$A$"&amp;MATCH($S991&amp;$J991,SorP!C:C,0))))</f>
        <v/>
      </c>
      <c r="U991" s="194"/>
      <c r="V991" s="218" t="e">
        <f>IF(C991="",NA(),IF(OR(C991="Smelter not listed",C991="Smelter not yet identified"),MATCH($B991&amp;$D991,'Smelter Look-up'!$J:$J,0),MATCH($B991&amp;$C991,'Smelter Look-up'!$J:$J,0)))</f>
        <v>#N/A</v>
      </c>
      <c r="X991" s="219">
        <f t="shared" ca="1" si="142"/>
        <v>0</v>
      </c>
      <c r="AB991" s="220" t="str">
        <f t="shared" si="143"/>
        <v/>
      </c>
    </row>
    <row r="992" spans="1:28" s="219" customFormat="1" ht="20.25">
      <c r="A992" s="174"/>
      <c r="B992" s="175" t="str">
        <f>IF(LEN(A992)=0,"",INDEX('Smelter Look-up'!$A:$A,MATCH($A992,'Smelter Look-up'!$E:$E,0)))</f>
        <v/>
      </c>
      <c r="C992" s="179" t="str">
        <f>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41"/>
        <v/>
      </c>
      <c r="T992" s="174" t="str">
        <f ca="1">IF(B992="","",IF(ISERROR(MATCH($J992,SorP!$B$1:$B$6279,0)),"",INDIRECT("'SorP'!$A$"&amp;MATCH($S992&amp;$J992,SorP!C:C,0))))</f>
        <v/>
      </c>
      <c r="U992" s="194"/>
      <c r="V992" s="218" t="e">
        <f>IF(C992="",NA(),IF(OR(C992="Smelter not listed",C992="Smelter not yet identified"),MATCH($B992&amp;$D992,'Smelter Look-up'!$J:$J,0),MATCH($B992&amp;$C992,'Smelter Look-up'!$J:$J,0)))</f>
        <v>#N/A</v>
      </c>
      <c r="X992" s="219">
        <f t="shared" ca="1" si="142"/>
        <v>0</v>
      </c>
      <c r="AB992" s="220" t="str">
        <f t="shared" si="143"/>
        <v/>
      </c>
    </row>
    <row r="993" spans="1:28" s="219" customFormat="1" ht="20.25">
      <c r="A993" s="174"/>
      <c r="B993" s="175" t="str">
        <f>IF(LEN(A993)=0,"",INDEX('Smelter Look-up'!$A:$A,MATCH($A993,'Smelter Look-up'!$E:$E,0)))</f>
        <v/>
      </c>
      <c r="C993" s="179" t="str">
        <f>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41"/>
        <v/>
      </c>
      <c r="T993" s="174" t="str">
        <f ca="1">IF(B993="","",IF(ISERROR(MATCH($J993,SorP!$B$1:$B$6279,0)),"",INDIRECT("'SorP'!$A$"&amp;MATCH($S993&amp;$J993,SorP!C:C,0))))</f>
        <v/>
      </c>
      <c r="U993" s="194"/>
      <c r="V993" s="218" t="e">
        <f>IF(C993="",NA(),IF(OR(C993="Smelter not listed",C993="Smelter not yet identified"),MATCH($B993&amp;$D993,'Smelter Look-up'!$J:$J,0),MATCH($B993&amp;$C993,'Smelter Look-up'!$J:$J,0)))</f>
        <v>#N/A</v>
      </c>
      <c r="X993" s="219">
        <f t="shared" ca="1" si="142"/>
        <v>0</v>
      </c>
      <c r="AB993" s="220" t="str">
        <f t="shared" si="143"/>
        <v/>
      </c>
    </row>
    <row r="994" spans="1:28" s="219" customFormat="1" ht="20.25">
      <c r="A994" s="174"/>
      <c r="B994" s="175" t="str">
        <f>IF(LEN(A994)=0,"",INDEX('Smelter Look-up'!$A:$A,MATCH($A994,'Smelter Look-up'!$E:$E,0)))</f>
        <v/>
      </c>
      <c r="C994" s="179" t="str">
        <f>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41"/>
        <v/>
      </c>
      <c r="T994" s="174" t="str">
        <f ca="1">IF(B994="","",IF(ISERROR(MATCH($J994,SorP!$B$1:$B$6279,0)),"",INDIRECT("'SorP'!$A$"&amp;MATCH($S994&amp;$J994,SorP!C:C,0))))</f>
        <v/>
      </c>
      <c r="U994" s="194"/>
      <c r="V994" s="218" t="e">
        <f>IF(C994="",NA(),IF(OR(C994="Smelter not listed",C994="Smelter not yet identified"),MATCH($B994&amp;$D994,'Smelter Look-up'!$J:$J,0),MATCH($B994&amp;$C994,'Smelter Look-up'!$J:$J,0)))</f>
        <v>#N/A</v>
      </c>
      <c r="X994" s="219">
        <f t="shared" ca="1" si="142"/>
        <v>0</v>
      </c>
      <c r="AB994" s="220" t="str">
        <f t="shared" si="143"/>
        <v/>
      </c>
    </row>
    <row r="995" spans="1:28" s="219" customFormat="1" ht="20.25">
      <c r="A995" s="174"/>
      <c r="B995" s="175" t="str">
        <f>IF(LEN(A995)=0,"",INDEX('Smelter Look-up'!$A:$A,MATCH($A995,'Smelter Look-up'!$E:$E,0)))</f>
        <v/>
      </c>
      <c r="C995" s="179" t="str">
        <f>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41"/>
        <v/>
      </c>
      <c r="T995" s="174" t="str">
        <f ca="1">IF(B995="","",IF(ISERROR(MATCH($J995,SorP!$B$1:$B$6279,0)),"",INDIRECT("'SorP'!$A$"&amp;MATCH($S995&amp;$J995,SorP!C:C,0))))</f>
        <v/>
      </c>
      <c r="U995" s="194"/>
      <c r="V995" s="218" t="e">
        <f>IF(C995="",NA(),IF(OR(C995="Smelter not listed",C995="Smelter not yet identified"),MATCH($B995&amp;$D995,'Smelter Look-up'!$J:$J,0),MATCH($B995&amp;$C995,'Smelter Look-up'!$J:$J,0)))</f>
        <v>#N/A</v>
      </c>
      <c r="X995" s="219">
        <f t="shared" ca="1" si="142"/>
        <v>0</v>
      </c>
      <c r="AB995" s="220" t="str">
        <f t="shared" si="143"/>
        <v/>
      </c>
    </row>
    <row r="996" spans="1:28" s="219" customFormat="1" ht="20.25">
      <c r="A996" s="174"/>
      <c r="B996" s="175" t="str">
        <f>IF(LEN(A996)=0,"",INDEX('Smelter Look-up'!$A:$A,MATCH($A996,'Smelter Look-up'!$E:$E,0)))</f>
        <v/>
      </c>
      <c r="C996" s="179" t="str">
        <f>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41"/>
        <v/>
      </c>
      <c r="T996" s="174" t="str">
        <f ca="1">IF(B996="","",IF(ISERROR(MATCH($J996,SorP!$B$1:$B$6279,0)),"",INDIRECT("'SorP'!$A$"&amp;MATCH($S996&amp;$J996,SorP!C:C,0))))</f>
        <v/>
      </c>
      <c r="U996" s="194"/>
      <c r="V996" s="218" t="e">
        <f>IF(C996="",NA(),IF(OR(C996="Smelter not listed",C996="Smelter not yet identified"),MATCH($B996&amp;$D996,'Smelter Look-up'!$J:$J,0),MATCH($B996&amp;$C996,'Smelter Look-up'!$J:$J,0)))</f>
        <v>#N/A</v>
      </c>
      <c r="X996" s="219">
        <f t="shared" ca="1" si="142"/>
        <v>0</v>
      </c>
      <c r="AB996" s="220" t="str">
        <f t="shared" si="143"/>
        <v/>
      </c>
    </row>
    <row r="997" spans="1:28" s="219" customFormat="1" ht="20.25">
      <c r="A997" s="174"/>
      <c r="B997" s="175" t="str">
        <f>IF(LEN(A997)=0,"",INDEX('Smelter Look-up'!$A:$A,MATCH($A997,'Smelter Look-up'!$E:$E,0)))</f>
        <v/>
      </c>
      <c r="C997" s="179" t="str">
        <f>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41"/>
        <v/>
      </c>
      <c r="T997" s="174" t="str">
        <f ca="1">IF(B997="","",IF(ISERROR(MATCH($J997,SorP!$B$1:$B$6279,0)),"",INDIRECT("'SorP'!$A$"&amp;MATCH($S997&amp;$J997,SorP!C:C,0))))</f>
        <v/>
      </c>
      <c r="U997" s="194"/>
      <c r="V997" s="218" t="e">
        <f>IF(C997="",NA(),IF(OR(C997="Smelter not listed",C997="Smelter not yet identified"),MATCH($B997&amp;$D997,'Smelter Look-up'!$J:$J,0),MATCH($B997&amp;$C997,'Smelter Look-up'!$J:$J,0)))</f>
        <v>#N/A</v>
      </c>
      <c r="X997" s="219">
        <f t="shared" ca="1" si="142"/>
        <v>0</v>
      </c>
      <c r="AB997" s="220" t="str">
        <f t="shared" si="143"/>
        <v/>
      </c>
    </row>
    <row r="998" spans="1:28" s="219" customFormat="1" ht="20.25">
      <c r="A998" s="174"/>
      <c r="B998" s="175" t="str">
        <f>IF(LEN(A998)=0,"",INDEX('Smelter Look-up'!$A:$A,MATCH($A998,'Smelter Look-up'!$E:$E,0)))</f>
        <v/>
      </c>
      <c r="C998" s="179" t="str">
        <f>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41"/>
        <v/>
      </c>
      <c r="T998" s="174" t="str">
        <f ca="1">IF(B998="","",IF(ISERROR(MATCH($J998,SorP!$B$1:$B$6279,0)),"",INDIRECT("'SorP'!$A$"&amp;MATCH($S998&amp;$J998,SorP!C:C,0))))</f>
        <v/>
      </c>
      <c r="U998" s="194"/>
      <c r="V998" s="218" t="e">
        <f>IF(C998="",NA(),IF(OR(C998="Smelter not listed",C998="Smelter not yet identified"),MATCH($B998&amp;$D998,'Smelter Look-up'!$J:$J,0),MATCH($B998&amp;$C998,'Smelter Look-up'!$J:$J,0)))</f>
        <v>#N/A</v>
      </c>
      <c r="X998" s="219">
        <f t="shared" ca="1" si="142"/>
        <v>0</v>
      </c>
      <c r="AB998" s="220" t="str">
        <f t="shared" si="143"/>
        <v/>
      </c>
    </row>
    <row r="999" spans="1:28" s="219" customFormat="1" ht="20.25">
      <c r="A999" s="174"/>
      <c r="B999" s="175" t="str">
        <f>IF(LEN(A999)=0,"",INDEX('Smelter Look-up'!$A:$A,MATCH($A999,'Smelter Look-up'!$E:$E,0)))</f>
        <v/>
      </c>
      <c r="C999" s="179" t="str">
        <f>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41"/>
        <v/>
      </c>
      <c r="T999" s="174" t="str">
        <f ca="1">IF(B999="","",IF(ISERROR(MATCH($J999,SorP!$B$1:$B$6279,0)),"",INDIRECT("'SorP'!$A$"&amp;MATCH($S999&amp;$J999,SorP!C:C,0))))</f>
        <v/>
      </c>
      <c r="U999" s="194"/>
      <c r="V999" s="218" t="e">
        <f>IF(C999="",NA(),IF(OR(C999="Smelter not listed",C999="Smelter not yet identified"),MATCH($B999&amp;$D999,'Smelter Look-up'!$J:$J,0),MATCH($B999&amp;$C999,'Smelter Look-up'!$J:$J,0)))</f>
        <v>#N/A</v>
      </c>
      <c r="X999" s="219">
        <f t="shared" ca="1" si="142"/>
        <v>0</v>
      </c>
      <c r="AB999" s="220" t="str">
        <f t="shared" si="143"/>
        <v/>
      </c>
    </row>
    <row r="1000" spans="1:28" s="219" customFormat="1" ht="20.25">
      <c r="A1000" s="174"/>
      <c r="B1000" s="175" t="str">
        <f>IF(LEN(A1000)=0,"",INDEX('Smelter Look-up'!$A:$A,MATCH($A1000,'Smelter Look-up'!$E:$E,0)))</f>
        <v/>
      </c>
      <c r="C1000" s="179" t="str">
        <f>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41"/>
        <v/>
      </c>
      <c r="T1000" s="174" t="str">
        <f ca="1">IF(B1000="","",IF(ISERROR(MATCH($J1000,SorP!$B$1:$B$6279,0)),"",INDIRECT("'SorP'!$A$"&amp;MATCH($S1000&amp;$J1000,SorP!C:C,0))))</f>
        <v/>
      </c>
      <c r="U1000" s="194"/>
      <c r="V1000" s="218" t="e">
        <f>IF(C1000="",NA(),IF(OR(C1000="Smelter not listed",C1000="Smelter not yet identified"),MATCH($B1000&amp;$D1000,'Smelter Look-up'!$J:$J,0),MATCH($B1000&amp;$C1000,'Smelter Look-up'!$J:$J,0)))</f>
        <v>#N/A</v>
      </c>
      <c r="X1000" s="219">
        <f t="shared" ca="1" si="142"/>
        <v>0</v>
      </c>
      <c r="AB1000" s="220" t="str">
        <f t="shared" si="143"/>
        <v/>
      </c>
    </row>
    <row r="1001" spans="1:28" s="219" customFormat="1" ht="20.25">
      <c r="A1001" s="174"/>
      <c r="B1001" s="175" t="str">
        <f>IF(LEN(A1001)=0,"",INDEX('Smelter Look-up'!$A:$A,MATCH($A1001,'Smelter Look-up'!$E:$E,0)))</f>
        <v/>
      </c>
      <c r="C1001" s="179" t="str">
        <f>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41"/>
        <v/>
      </c>
      <c r="T1001" s="174" t="str">
        <f ca="1">IF(B1001="","",IF(ISERROR(MATCH($J1001,SorP!$B$1:$B$6279,0)),"",INDIRECT("'SorP'!$A$"&amp;MATCH($S1001&amp;$J1001,SorP!C:C,0))))</f>
        <v/>
      </c>
      <c r="U1001" s="194"/>
      <c r="V1001" s="218" t="e">
        <f>IF(C1001="",NA(),IF(OR(C1001="Smelter not listed",C1001="Smelter not yet identified"),MATCH($B1001&amp;$D1001,'Smelter Look-up'!$J:$J,0),MATCH($B1001&amp;$C1001,'Smelter Look-up'!$J:$J,0)))</f>
        <v>#N/A</v>
      </c>
      <c r="X1001" s="219">
        <f t="shared" ca="1" si="142"/>
        <v>0</v>
      </c>
      <c r="AB1001" s="220" t="str">
        <f t="shared" si="143"/>
        <v/>
      </c>
    </row>
    <row r="1002" spans="1:28" s="219" customFormat="1" ht="20.25">
      <c r="A1002" s="174"/>
      <c r="B1002" s="175" t="str">
        <f>IF(LEN(A1002)=0,"",INDEX('Smelter Look-up'!$A:$A,MATCH($A1002,'Smelter Look-up'!$E:$E,0)))</f>
        <v/>
      </c>
      <c r="C1002" s="179" t="str">
        <f>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41"/>
        <v/>
      </c>
      <c r="T1002" s="174" t="str">
        <f ca="1">IF(B1002="","",IF(ISERROR(MATCH($J1002,SorP!$B$1:$B$6279,0)),"",INDIRECT("'SorP'!$A$"&amp;MATCH($S1002&amp;$J1002,SorP!C:C,0))))</f>
        <v/>
      </c>
      <c r="U1002" s="194"/>
      <c r="V1002" s="218" t="e">
        <f>IF(C1002="",NA(),IF(OR(C1002="Smelter not listed",C1002="Smelter not yet identified"),MATCH($B1002&amp;$D1002,'Smelter Look-up'!$J:$J,0),MATCH($B1002&amp;$C1002,'Smelter Look-up'!$J:$J,0)))</f>
        <v>#N/A</v>
      </c>
      <c r="X1002" s="219">
        <f t="shared" ca="1" si="142"/>
        <v>0</v>
      </c>
      <c r="AB1002" s="220" t="str">
        <f t="shared" si="143"/>
        <v/>
      </c>
    </row>
    <row r="1003" spans="1:28" s="219" customFormat="1" ht="20.25">
      <c r="A1003" s="174"/>
      <c r="B1003" s="175" t="str">
        <f>IF(LEN(A1003)=0,"",INDEX('Smelter Look-up'!$A:$A,MATCH($A1003,'Smelter Look-up'!$E:$E,0)))</f>
        <v/>
      </c>
      <c r="C1003" s="179" t="str">
        <f>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41"/>
        <v/>
      </c>
      <c r="T1003" s="174" t="str">
        <f ca="1">IF(B1003="","",IF(ISERROR(MATCH($J1003,SorP!$B$1:$B$6279,0)),"",INDIRECT("'SorP'!$A$"&amp;MATCH($S1003&amp;$J1003,SorP!C:C,0))))</f>
        <v/>
      </c>
      <c r="U1003" s="194"/>
      <c r="V1003" s="218" t="e">
        <f>IF(C1003="",NA(),IF(OR(C1003="Smelter not listed",C1003="Smelter not yet identified"),MATCH($B1003&amp;$D1003,'Smelter Look-up'!$J:$J,0),MATCH($B1003&amp;$C1003,'Smelter Look-up'!$J:$J,0)))</f>
        <v>#N/A</v>
      </c>
      <c r="X1003" s="219">
        <f t="shared" ca="1" si="142"/>
        <v>0</v>
      </c>
      <c r="AB1003" s="220" t="str">
        <f t="shared" si="143"/>
        <v/>
      </c>
    </row>
    <row r="1004" spans="1:28" s="219" customFormat="1" ht="20.25">
      <c r="A1004" s="174"/>
      <c r="B1004" s="175" t="str">
        <f>IF(LEN(A1004)=0,"",INDEX('Smelter Look-up'!$A:$A,MATCH($A1004,'Smelter Look-up'!$E:$E,0)))</f>
        <v/>
      </c>
      <c r="C1004" s="179" t="str">
        <f>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41"/>
        <v/>
      </c>
      <c r="T1004" s="174" t="str">
        <f ca="1">IF(B1004="","",IF(ISERROR(MATCH($J1004,SorP!$B$1:$B$6279,0)),"",INDIRECT("'SorP'!$A$"&amp;MATCH($S1004&amp;$J1004,SorP!C:C,0))))</f>
        <v/>
      </c>
      <c r="U1004" s="194"/>
      <c r="V1004" s="218" t="e">
        <f>IF(C1004="",NA(),IF(OR(C1004="Smelter not listed",C1004="Smelter not yet identified"),MATCH($B1004&amp;$D1004,'Smelter Look-up'!$J:$J,0),MATCH($B1004&amp;$C1004,'Smelter Look-up'!$J:$J,0)))</f>
        <v>#N/A</v>
      </c>
      <c r="X1004" s="219">
        <f t="shared" ca="1" si="142"/>
        <v>0</v>
      </c>
      <c r="AB1004" s="220" t="str">
        <f t="shared" si="143"/>
        <v/>
      </c>
    </row>
    <row r="1005" spans="1:28" s="219" customFormat="1" ht="20.25">
      <c r="A1005" s="174"/>
      <c r="B1005" s="175" t="str">
        <f>IF(LEN(A1005)=0,"",INDEX('Smelter Look-up'!$A:$A,MATCH($A1005,'Smelter Look-up'!$E:$E,0)))</f>
        <v/>
      </c>
      <c r="C1005" s="179" t="str">
        <f>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41"/>
        <v/>
      </c>
      <c r="T1005" s="174" t="str">
        <f ca="1">IF(B1005="","",IF(ISERROR(MATCH($J1005,SorP!$B$1:$B$6279,0)),"",INDIRECT("'SorP'!$A$"&amp;MATCH($S1005&amp;$J1005,SorP!C:C,0))))</f>
        <v/>
      </c>
      <c r="U1005" s="194"/>
      <c r="V1005" s="218" t="e">
        <f>IF(C1005="",NA(),IF(OR(C1005="Smelter not listed",C1005="Smelter not yet identified"),MATCH($B1005&amp;$D1005,'Smelter Look-up'!$J:$J,0),MATCH($B1005&amp;$C1005,'Smelter Look-up'!$J:$J,0)))</f>
        <v>#N/A</v>
      </c>
      <c r="X1005" s="219">
        <f t="shared" ca="1" si="142"/>
        <v>0</v>
      </c>
      <c r="AB1005" s="220" t="str">
        <f t="shared" si="143"/>
        <v/>
      </c>
    </row>
    <row r="1006" spans="1:28" s="219" customFormat="1" ht="20.25">
      <c r="A1006" s="174"/>
      <c r="B1006" s="175" t="str">
        <f>IF(LEN(A1006)=0,"",INDEX('Smelter Look-up'!$A:$A,MATCH($A1006,'Smelter Look-up'!$E:$E,0)))</f>
        <v/>
      </c>
      <c r="C1006" s="179" t="str">
        <f>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41"/>
        <v/>
      </c>
      <c r="T1006" s="174" t="str">
        <f ca="1">IF(B1006="","",IF(ISERROR(MATCH($J1006,SorP!$B$1:$B$6279,0)),"",INDIRECT("'SorP'!$A$"&amp;MATCH($S1006&amp;$J1006,SorP!C:C,0))))</f>
        <v/>
      </c>
      <c r="U1006" s="194"/>
      <c r="V1006" s="218" t="e">
        <f>IF(C1006="",NA(),IF(OR(C1006="Smelter not listed",C1006="Smelter not yet identified"),MATCH($B1006&amp;$D1006,'Smelter Look-up'!$J:$J,0),MATCH($B1006&amp;$C1006,'Smelter Look-up'!$J:$J,0)))</f>
        <v>#N/A</v>
      </c>
      <c r="X1006" s="219">
        <f t="shared" ca="1" si="142"/>
        <v>0</v>
      </c>
      <c r="AB1006" s="220" t="str">
        <f t="shared" si="143"/>
        <v/>
      </c>
    </row>
    <row r="1007" spans="1:28" s="219" customFormat="1" ht="20.25">
      <c r="A1007" s="174"/>
      <c r="B1007" s="175" t="str">
        <f>IF(LEN(A1007)=0,"",INDEX('Smelter Look-up'!$A:$A,MATCH($A1007,'Smelter Look-up'!$E:$E,0)))</f>
        <v/>
      </c>
      <c r="C1007" s="179" t="str">
        <f>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41"/>
        <v/>
      </c>
      <c r="T1007" s="174" t="str">
        <f ca="1">IF(B1007="","",IF(ISERROR(MATCH($J1007,SorP!$B$1:$B$6279,0)),"",INDIRECT("'SorP'!$A$"&amp;MATCH($S1007&amp;$J1007,SorP!C:C,0))))</f>
        <v/>
      </c>
      <c r="U1007" s="194"/>
      <c r="V1007" s="218" t="e">
        <f>IF(C1007="",NA(),IF(OR(C1007="Smelter not listed",C1007="Smelter not yet identified"),MATCH($B1007&amp;$D1007,'Smelter Look-up'!$J:$J,0),MATCH($B1007&amp;$C1007,'Smelter Look-up'!$J:$J,0)))</f>
        <v>#N/A</v>
      </c>
      <c r="X1007" s="219">
        <f t="shared" ca="1" si="142"/>
        <v>0</v>
      </c>
      <c r="AB1007" s="220" t="str">
        <f t="shared" si="143"/>
        <v/>
      </c>
    </row>
    <row r="1008" spans="1:28" s="219" customFormat="1" ht="20.25">
      <c r="A1008" s="174"/>
      <c r="B1008" s="175" t="str">
        <f>IF(LEN(A1008)=0,"",INDEX('Smelter Look-up'!$A:$A,MATCH($A1008,'Smelter Look-up'!$E:$E,0)))</f>
        <v/>
      </c>
      <c r="C1008" s="179" t="str">
        <f>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41"/>
        <v/>
      </c>
      <c r="T1008" s="174" t="str">
        <f ca="1">IF(B1008="","",IF(ISERROR(MATCH($J1008,SorP!$B$1:$B$6279,0)),"",INDIRECT("'SorP'!$A$"&amp;MATCH($S1008&amp;$J1008,SorP!C:C,0))))</f>
        <v/>
      </c>
      <c r="U1008" s="194"/>
      <c r="V1008" s="218" t="e">
        <f>IF(C1008="",NA(),IF(OR(C1008="Smelter not listed",C1008="Smelter not yet identified"),MATCH($B1008&amp;$D1008,'Smelter Look-up'!$J:$J,0),MATCH($B1008&amp;$C1008,'Smelter Look-up'!$J:$J,0)))</f>
        <v>#N/A</v>
      </c>
      <c r="X1008" s="219">
        <f t="shared" ca="1" si="142"/>
        <v>0</v>
      </c>
      <c r="AB1008" s="220" t="str">
        <f t="shared" si="143"/>
        <v/>
      </c>
    </row>
    <row r="1009" spans="1:28" s="219" customFormat="1" ht="20.25">
      <c r="A1009" s="174"/>
      <c r="B1009" s="175" t="str">
        <f>IF(LEN(A1009)=0,"",INDEX('Smelter Look-up'!$A:$A,MATCH($A1009,'Smelter Look-up'!$E:$E,0)))</f>
        <v/>
      </c>
      <c r="C1009" s="179" t="str">
        <f>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41"/>
        <v/>
      </c>
      <c r="T1009" s="174" t="str">
        <f ca="1">IF(B1009="","",IF(ISERROR(MATCH($J1009,SorP!$B$1:$B$6279,0)),"",INDIRECT("'SorP'!$A$"&amp;MATCH($S1009&amp;$J1009,SorP!C:C,0))))</f>
        <v/>
      </c>
      <c r="U1009" s="194"/>
      <c r="V1009" s="218" t="e">
        <f>IF(C1009="",NA(),IF(OR(C1009="Smelter not listed",C1009="Smelter not yet identified"),MATCH($B1009&amp;$D1009,'Smelter Look-up'!$J:$J,0),MATCH($B1009&amp;$C1009,'Smelter Look-up'!$J:$J,0)))</f>
        <v>#N/A</v>
      </c>
      <c r="X1009" s="219">
        <f t="shared" ca="1" si="142"/>
        <v>0</v>
      </c>
      <c r="AB1009" s="220" t="str">
        <f t="shared" si="143"/>
        <v/>
      </c>
    </row>
    <row r="1010" spans="1:28" s="219" customFormat="1" ht="20.25">
      <c r="A1010" s="174"/>
      <c r="B1010" s="175" t="str">
        <f>IF(LEN(A1010)=0,"",INDEX('Smelter Look-up'!$A:$A,MATCH($A1010,'Smelter Look-up'!$E:$E,0)))</f>
        <v/>
      </c>
      <c r="C1010" s="179" t="str">
        <f>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41"/>
        <v/>
      </c>
      <c r="T1010" s="174" t="str">
        <f ca="1">IF(B1010="","",IF(ISERROR(MATCH($J1010,SorP!$B$1:$B$6279,0)),"",INDIRECT("'SorP'!$A$"&amp;MATCH($S1010&amp;$J1010,SorP!C:C,0))))</f>
        <v/>
      </c>
      <c r="U1010" s="194"/>
      <c r="V1010" s="218" t="e">
        <f>IF(C1010="",NA(),IF(OR(C1010="Smelter not listed",C1010="Smelter not yet identified"),MATCH($B1010&amp;$D1010,'Smelter Look-up'!$J:$J,0),MATCH($B1010&amp;$C1010,'Smelter Look-up'!$J:$J,0)))</f>
        <v>#N/A</v>
      </c>
      <c r="X1010" s="219">
        <f t="shared" ca="1" si="142"/>
        <v>0</v>
      </c>
      <c r="AB1010" s="220" t="str">
        <f t="shared" si="143"/>
        <v/>
      </c>
    </row>
    <row r="1011" spans="1:28" s="219" customFormat="1" ht="20.25">
      <c r="A1011" s="174"/>
      <c r="B1011" s="175" t="str">
        <f>IF(LEN(A1011)=0,"",INDEX('Smelter Look-up'!$A:$A,MATCH($A1011,'Smelter Look-up'!$E:$E,0)))</f>
        <v/>
      </c>
      <c r="C1011" s="179" t="str">
        <f>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141"/>
        <v/>
      </c>
      <c r="T1011" s="174" t="str">
        <f ca="1">IF(B1011="","",IF(ISERROR(MATCH($J1011,SorP!$B$1:$B$6279,0)),"",INDIRECT("'SorP'!$A$"&amp;MATCH($S1011&amp;$J1011,SorP!C:C,0))))</f>
        <v/>
      </c>
      <c r="U1011" s="194"/>
      <c r="V1011" s="218" t="e">
        <f>IF(C1011="",NA(),IF(OR(C1011="Smelter not listed",C1011="Smelter not yet identified"),MATCH($B1011&amp;$D1011,'Smelter Look-up'!$J:$J,0),MATCH($B1011&amp;$C1011,'Smelter Look-up'!$J:$J,0)))</f>
        <v>#N/A</v>
      </c>
      <c r="X1011" s="219">
        <f t="shared" ca="1" si="142"/>
        <v>0</v>
      </c>
      <c r="AB1011" s="220" t="str">
        <f t="shared" si="143"/>
        <v/>
      </c>
    </row>
    <row r="1012" spans="1:28" s="219" customFormat="1" ht="20.25">
      <c r="A1012" s="174"/>
      <c r="B1012" s="175" t="str">
        <f>IF(LEN(A1012)=0,"",INDEX('Smelter Look-up'!$A:$A,MATCH($A1012,'Smelter Look-up'!$E:$E,0)))</f>
        <v/>
      </c>
      <c r="C1012" s="179" t="str">
        <f>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41"/>
        <v/>
      </c>
      <c r="T1012" s="174" t="str">
        <f ca="1">IF(B1012="","",IF(ISERROR(MATCH($J1012,SorP!$B$1:$B$6279,0)),"",INDIRECT("'SorP'!$A$"&amp;MATCH($S1012&amp;$J1012,SorP!C:C,0))))</f>
        <v/>
      </c>
      <c r="U1012" s="194"/>
      <c r="V1012" s="218" t="e">
        <f>IF(C1012="",NA(),IF(OR(C1012="Smelter not listed",C1012="Smelter not yet identified"),MATCH($B1012&amp;$D1012,'Smelter Look-up'!$J:$J,0),MATCH($B1012&amp;$C1012,'Smelter Look-up'!$J:$J,0)))</f>
        <v>#N/A</v>
      </c>
      <c r="X1012" s="219">
        <f t="shared" ca="1" si="142"/>
        <v>0</v>
      </c>
      <c r="AB1012" s="220" t="str">
        <f t="shared" si="143"/>
        <v/>
      </c>
    </row>
    <row r="1013" spans="1:28" s="219" customFormat="1" ht="20.25">
      <c r="A1013" s="174"/>
      <c r="B1013" s="175" t="str">
        <f>IF(LEN(A1013)=0,"",INDEX('Smelter Look-up'!$A:$A,MATCH($A1013,'Smelter Look-up'!$E:$E,0)))</f>
        <v/>
      </c>
      <c r="C1013" s="179" t="str">
        <f>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41"/>
        <v/>
      </c>
      <c r="T1013" s="174" t="str">
        <f ca="1">IF(B1013="","",IF(ISERROR(MATCH($J1013,SorP!$B$1:$B$6279,0)),"",INDIRECT("'SorP'!$A$"&amp;MATCH($S1013&amp;$J1013,SorP!C:C,0))))</f>
        <v/>
      </c>
      <c r="U1013" s="194"/>
      <c r="V1013" s="218" t="e">
        <f>IF(C1013="",NA(),IF(OR(C1013="Smelter not listed",C1013="Smelter not yet identified"),MATCH($B1013&amp;$D1013,'Smelter Look-up'!$J:$J,0),MATCH($B1013&amp;$C1013,'Smelter Look-up'!$J:$J,0)))</f>
        <v>#N/A</v>
      </c>
      <c r="X1013" s="219">
        <f t="shared" ca="1" si="142"/>
        <v>0</v>
      </c>
      <c r="AB1013" s="220" t="str">
        <f t="shared" si="143"/>
        <v/>
      </c>
    </row>
    <row r="1014" spans="1:28" s="219" customFormat="1" ht="20.25">
      <c r="A1014" s="174"/>
      <c r="B1014" s="175" t="str">
        <f>IF(LEN(A1014)=0,"",INDEX('Smelter Look-up'!$A:$A,MATCH($A1014,'Smelter Look-up'!$E:$E,0)))</f>
        <v/>
      </c>
      <c r="C1014" s="179" t="str">
        <f>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41"/>
        <v/>
      </c>
      <c r="T1014" s="174" t="str">
        <f ca="1">IF(B1014="","",IF(ISERROR(MATCH($J1014,SorP!$B$1:$B$6279,0)),"",INDIRECT("'SorP'!$A$"&amp;MATCH($S1014&amp;$J1014,SorP!C:C,0))))</f>
        <v/>
      </c>
      <c r="U1014" s="194"/>
      <c r="V1014" s="218" t="e">
        <f>IF(C1014="",NA(),IF(OR(C1014="Smelter not listed",C1014="Smelter not yet identified"),MATCH($B1014&amp;$D1014,'Smelter Look-up'!$J:$J,0),MATCH($B1014&amp;$C1014,'Smelter Look-up'!$J:$J,0)))</f>
        <v>#N/A</v>
      </c>
      <c r="X1014" s="219">
        <f t="shared" ca="1" si="142"/>
        <v>0</v>
      </c>
      <c r="AB1014" s="220" t="str">
        <f t="shared" si="143"/>
        <v/>
      </c>
    </row>
    <row r="1015" spans="1:28" s="219" customFormat="1" ht="20.25">
      <c r="A1015" s="174"/>
      <c r="B1015" s="175" t="str">
        <f>IF(LEN(A1015)=0,"",INDEX('Smelter Look-up'!$A:$A,MATCH($A1015,'Smelter Look-up'!$E:$E,0)))</f>
        <v/>
      </c>
      <c r="C1015" s="179" t="str">
        <f>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41"/>
        <v/>
      </c>
      <c r="T1015" s="174" t="str">
        <f ca="1">IF(B1015="","",IF(ISERROR(MATCH($J1015,SorP!$B$1:$B$6279,0)),"",INDIRECT("'SorP'!$A$"&amp;MATCH($S1015&amp;$J1015,SorP!C:C,0))))</f>
        <v/>
      </c>
      <c r="U1015" s="194"/>
      <c r="V1015" s="218" t="e">
        <f>IF(C1015="",NA(),IF(OR(C1015="Smelter not listed",C1015="Smelter not yet identified"),MATCH($B1015&amp;$D1015,'Smelter Look-up'!$J:$J,0),MATCH($B1015&amp;$C1015,'Smelter Look-up'!$J:$J,0)))</f>
        <v>#N/A</v>
      </c>
      <c r="X1015" s="219">
        <f t="shared" ca="1" si="142"/>
        <v>0</v>
      </c>
      <c r="AB1015" s="220" t="str">
        <f t="shared" si="143"/>
        <v/>
      </c>
    </row>
    <row r="1016" spans="1:28" s="219" customFormat="1" ht="20.25">
      <c r="A1016" s="174"/>
      <c r="B1016" s="175" t="str">
        <f>IF(LEN(A1016)=0,"",INDEX('Smelter Look-up'!$A:$A,MATCH($A1016,'Smelter Look-up'!$E:$E,0)))</f>
        <v/>
      </c>
      <c r="C1016" s="179" t="str">
        <f>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41"/>
        <v/>
      </c>
      <c r="T1016" s="174" t="str">
        <f ca="1">IF(B1016="","",IF(ISERROR(MATCH($J1016,SorP!$B$1:$B$6279,0)),"",INDIRECT("'SorP'!$A$"&amp;MATCH($S1016&amp;$J1016,SorP!C:C,0))))</f>
        <v/>
      </c>
      <c r="U1016" s="194"/>
      <c r="V1016" s="218" t="e">
        <f>IF(C1016="",NA(),IF(OR(C1016="Smelter not listed",C1016="Smelter not yet identified"),MATCH($B1016&amp;$D1016,'Smelter Look-up'!$J:$J,0),MATCH($B1016&amp;$C1016,'Smelter Look-up'!$J:$J,0)))</f>
        <v>#N/A</v>
      </c>
      <c r="X1016" s="219">
        <f t="shared" ca="1" si="142"/>
        <v>0</v>
      </c>
      <c r="AB1016" s="220" t="str">
        <f t="shared" si="143"/>
        <v/>
      </c>
    </row>
    <row r="1017" spans="1:28" s="219" customFormat="1" ht="20.25">
      <c r="A1017" s="174"/>
      <c r="B1017" s="175" t="str">
        <f>IF(LEN(A1017)=0,"",INDEX('Smelter Look-up'!$A:$A,MATCH($A1017,'Smelter Look-up'!$E:$E,0)))</f>
        <v/>
      </c>
      <c r="C1017" s="179" t="str">
        <f>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141"/>
        <v/>
      </c>
      <c r="T1017" s="174" t="str">
        <f ca="1">IF(B1017="","",IF(ISERROR(MATCH($J1017,SorP!$B$1:$B$6279,0)),"",INDIRECT("'SorP'!$A$"&amp;MATCH($S1017&amp;$J1017,SorP!C:C,0))))</f>
        <v/>
      </c>
      <c r="U1017" s="194"/>
      <c r="V1017" s="218" t="e">
        <f>IF(C1017="",NA(),IF(OR(C1017="Smelter not listed",C1017="Smelter not yet identified"),MATCH($B1017&amp;$D1017,'Smelter Look-up'!$J:$J,0),MATCH($B1017&amp;$C1017,'Smelter Look-up'!$J:$J,0)))</f>
        <v>#N/A</v>
      </c>
      <c r="X1017" s="219">
        <f t="shared" ca="1" si="142"/>
        <v>0</v>
      </c>
      <c r="AB1017" s="220" t="str">
        <f t="shared" si="143"/>
        <v/>
      </c>
    </row>
    <row r="1018" spans="1:28" s="219" customFormat="1" ht="20.25">
      <c r="A1018" s="174"/>
      <c r="B1018" s="175" t="str">
        <f>IF(LEN(A1018)=0,"",INDEX('Smelter Look-up'!$A:$A,MATCH($A1018,'Smelter Look-up'!$E:$E,0)))</f>
        <v/>
      </c>
      <c r="C1018" s="179" t="str">
        <f>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ca="1" si="141"/>
        <v/>
      </c>
      <c r="T1018" s="174" t="str">
        <f ca="1">IF(B1018="","",IF(ISERROR(MATCH($J1018,SorP!$B$1:$B$6279,0)),"",INDIRECT("'SorP'!$A$"&amp;MATCH($S1018&amp;$J1018,SorP!C:C,0))))</f>
        <v/>
      </c>
      <c r="U1018" s="194"/>
      <c r="V1018" s="218" t="e">
        <f>IF(C1018="",NA(),IF(OR(C1018="Smelter not listed",C1018="Smelter not yet identified"),MATCH($B1018&amp;$D1018,'Smelter Look-up'!$J:$J,0),MATCH($B1018&amp;$C1018,'Smelter Look-up'!$J:$J,0)))</f>
        <v>#N/A</v>
      </c>
      <c r="X1018" s="219">
        <f t="shared" ca="1" si="142"/>
        <v>0</v>
      </c>
      <c r="AB1018" s="220" t="str">
        <f t="shared" si="143"/>
        <v/>
      </c>
    </row>
    <row r="1019" spans="1:28" s="219" customFormat="1" ht="20.25">
      <c r="A1019" s="174"/>
      <c r="B1019" s="175" t="str">
        <f>IF(LEN(A1019)=0,"",INDEX('Smelter Look-up'!$A:$A,MATCH($A1019,'Smelter Look-up'!$E:$E,0)))</f>
        <v/>
      </c>
      <c r="C1019" s="179" t="str">
        <f>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ref="S1019" ca="1" si="144">IF(B1019="","",IF(ISERROR(MATCH($E1019,CL,0)),"Unknown",INDIRECT("'C'!$A$"&amp;MATCH($E1019,CL,0)+1)))</f>
        <v/>
      </c>
      <c r="T1019" s="174" t="str">
        <f ca="1">IF(B1019="","",IF(ISERROR(MATCH($J1019,SorP!$B$1:$B$6279,0)),"",INDIRECT("'SorP'!$A$"&amp;MATCH($S1019&amp;$J1019,SorP!C:C,0))))</f>
        <v/>
      </c>
      <c r="U1019" s="194"/>
      <c r="V1019" s="218" t="e">
        <f>IF(C1019="",NA(),IF(OR(C1019="Smelter not listed",C1019="Smelter not yet identified"),MATCH($B1019&amp;$D1019,'Smelter Look-up'!$J:$J,0),MATCH($B1019&amp;$C1019,'Smelter Look-up'!$J:$J,0)))</f>
        <v>#N/A</v>
      </c>
      <c r="X1019" s="219">
        <f t="shared" ref="X1019" ca="1" si="145">IF(AND(C1019="Smelter not listed",OR(LEN(D1019)=0,LEN(E1019)=0)),1,0)</f>
        <v>0</v>
      </c>
      <c r="AB1019" s="220" t="str">
        <f t="shared" ref="AB1019" si="146">B1019&amp;C1019</f>
        <v/>
      </c>
    </row>
    <row r="1020" spans="1:28" s="219" customFormat="1" ht="20.25">
      <c r="A1020" s="174"/>
      <c r="B1020" s="175" t="str">
        <f>IF(LEN(A1020)=0,"",INDEX('Smelter Look-up'!$A:$A,MATCH($A1020,'Smelter Look-up'!$E:$E,0)))</f>
        <v/>
      </c>
      <c r="C1020" s="179" t="str">
        <f>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ref="S1020:S1051" ca="1" si="147">IF(B1020="","",IF(ISERROR(MATCH($E1020,CL,0)),"Unknown",INDIRECT("'C'!$A$"&amp;MATCH($E1020,CL,0)+1)))</f>
        <v/>
      </c>
      <c r="T1020" s="174" t="str">
        <f ca="1">IF(B1020="","",IF(ISERROR(MATCH($J1020,SorP!$B$1:$B$6279,0)),"",INDIRECT("'SorP'!$A$"&amp;MATCH($S1020&amp;$J1020,SorP!C:C,0))))</f>
        <v/>
      </c>
      <c r="U1020" s="194"/>
      <c r="V1020" s="218" t="e">
        <f>IF(C1020="",NA(),IF(OR(C1020="Smelter not listed",C1020="Smelter not yet identified"),MATCH($B1020&amp;$D1020,'Smelter Look-up'!$J:$J,0),MATCH($B1020&amp;$C1020,'Smelter Look-up'!$J:$J,0)))</f>
        <v>#N/A</v>
      </c>
      <c r="X1020" s="219">
        <f t="shared" ref="X1020:X1051" ca="1" si="148">IF(AND(C1020="Smelter not listed",OR(LEN(D1020)=0,LEN(E1020)=0)),1,0)</f>
        <v>0</v>
      </c>
      <c r="AB1020" s="220" t="str">
        <f t="shared" ref="AB1020:AB1051" si="149">B1020&amp;C1020</f>
        <v/>
      </c>
    </row>
    <row r="1021" spans="1:28" s="219" customFormat="1" ht="20.25">
      <c r="A1021" s="174"/>
      <c r="B1021" s="175" t="str">
        <f>IF(LEN(A1021)=0,"",INDEX('Smelter Look-up'!$A:$A,MATCH($A1021,'Smelter Look-up'!$E:$E,0)))</f>
        <v/>
      </c>
      <c r="C1021" s="179" t="str">
        <f>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47"/>
        <v/>
      </c>
      <c r="T1021" s="174" t="str">
        <f ca="1">IF(B1021="","",IF(ISERROR(MATCH($J1021,SorP!$B$1:$B$6279,0)),"",INDIRECT("'SorP'!$A$"&amp;MATCH($S1021&amp;$J1021,SorP!C:C,0))))</f>
        <v/>
      </c>
      <c r="U1021" s="194"/>
      <c r="V1021" s="218" t="e">
        <f>IF(C1021="",NA(),IF(OR(C1021="Smelter not listed",C1021="Smelter not yet identified"),MATCH($B1021&amp;$D1021,'Smelter Look-up'!$J:$J,0),MATCH($B1021&amp;$C1021,'Smelter Look-up'!$J:$J,0)))</f>
        <v>#N/A</v>
      </c>
      <c r="X1021" s="219">
        <f t="shared" ca="1" si="148"/>
        <v>0</v>
      </c>
      <c r="AB1021" s="220" t="str">
        <f t="shared" si="149"/>
        <v/>
      </c>
    </row>
    <row r="1022" spans="1:28" s="219" customFormat="1" ht="20.25">
      <c r="A1022" s="174"/>
      <c r="B1022" s="175" t="str">
        <f>IF(LEN(A1022)=0,"",INDEX('Smelter Look-up'!$A:$A,MATCH($A1022,'Smelter Look-up'!$E:$E,0)))</f>
        <v/>
      </c>
      <c r="C1022" s="179" t="str">
        <f>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47"/>
        <v/>
      </c>
      <c r="T1022" s="174" t="str">
        <f ca="1">IF(B1022="","",IF(ISERROR(MATCH($J1022,SorP!$B$1:$B$6279,0)),"",INDIRECT("'SorP'!$A$"&amp;MATCH($S1022&amp;$J1022,SorP!C:C,0))))</f>
        <v/>
      </c>
      <c r="U1022" s="194"/>
      <c r="V1022" s="218" t="e">
        <f>IF(C1022="",NA(),IF(OR(C1022="Smelter not listed",C1022="Smelter not yet identified"),MATCH($B1022&amp;$D1022,'Smelter Look-up'!$J:$J,0),MATCH($B1022&amp;$C1022,'Smelter Look-up'!$J:$J,0)))</f>
        <v>#N/A</v>
      </c>
      <c r="X1022" s="219">
        <f t="shared" ca="1" si="148"/>
        <v>0</v>
      </c>
      <c r="AB1022" s="220" t="str">
        <f t="shared" si="149"/>
        <v/>
      </c>
    </row>
    <row r="1023" spans="1:28" s="219" customFormat="1" ht="20.25">
      <c r="A1023" s="174"/>
      <c r="B1023" s="175" t="str">
        <f>IF(LEN(A1023)=0,"",INDEX('Smelter Look-up'!$A:$A,MATCH($A1023,'Smelter Look-up'!$E:$E,0)))</f>
        <v/>
      </c>
      <c r="C1023" s="179" t="str">
        <f>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47"/>
        <v/>
      </c>
      <c r="T1023" s="174" t="str">
        <f ca="1">IF(B1023="","",IF(ISERROR(MATCH($J1023,SorP!$B$1:$B$6279,0)),"",INDIRECT("'SorP'!$A$"&amp;MATCH($S1023&amp;$J1023,SorP!C:C,0))))</f>
        <v/>
      </c>
      <c r="U1023" s="194"/>
      <c r="V1023" s="218" t="e">
        <f>IF(C1023="",NA(),IF(OR(C1023="Smelter not listed",C1023="Smelter not yet identified"),MATCH($B1023&amp;$D1023,'Smelter Look-up'!$J:$J,0),MATCH($B1023&amp;$C1023,'Smelter Look-up'!$J:$J,0)))</f>
        <v>#N/A</v>
      </c>
      <c r="X1023" s="219">
        <f t="shared" ca="1" si="148"/>
        <v>0</v>
      </c>
      <c r="AB1023" s="220" t="str">
        <f t="shared" si="149"/>
        <v/>
      </c>
    </row>
    <row r="1024" spans="1:28" s="219" customFormat="1" ht="20.25">
      <c r="A1024" s="174"/>
      <c r="B1024" s="175" t="str">
        <f>IF(LEN(A1024)=0,"",INDEX('Smelter Look-up'!$A:$A,MATCH($A1024,'Smelter Look-up'!$E:$E,0)))</f>
        <v/>
      </c>
      <c r="C1024" s="179" t="str">
        <f>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47"/>
        <v/>
      </c>
      <c r="T1024" s="174" t="str">
        <f ca="1">IF(B1024="","",IF(ISERROR(MATCH($J1024,SorP!$B$1:$B$6279,0)),"",INDIRECT("'SorP'!$A$"&amp;MATCH($S1024&amp;$J1024,SorP!C:C,0))))</f>
        <v/>
      </c>
      <c r="U1024" s="194"/>
      <c r="V1024" s="218" t="e">
        <f>IF(C1024="",NA(),IF(OR(C1024="Smelter not listed",C1024="Smelter not yet identified"),MATCH($B1024&amp;$D1024,'Smelter Look-up'!$J:$J,0),MATCH($B1024&amp;$C1024,'Smelter Look-up'!$J:$J,0)))</f>
        <v>#N/A</v>
      </c>
      <c r="X1024" s="219">
        <f t="shared" ca="1" si="148"/>
        <v>0</v>
      </c>
      <c r="AB1024" s="220" t="str">
        <f t="shared" si="149"/>
        <v/>
      </c>
    </row>
    <row r="1025" spans="1:28" s="219" customFormat="1" ht="20.25">
      <c r="A1025" s="174"/>
      <c r="B1025" s="175" t="str">
        <f>IF(LEN(A1025)=0,"",INDEX('Smelter Look-up'!$A:$A,MATCH($A1025,'Smelter Look-up'!$E:$E,0)))</f>
        <v/>
      </c>
      <c r="C1025" s="179" t="str">
        <f>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47"/>
        <v/>
      </c>
      <c r="T1025" s="174" t="str">
        <f ca="1">IF(B1025="","",IF(ISERROR(MATCH($J1025,SorP!$B$1:$B$6279,0)),"",INDIRECT("'SorP'!$A$"&amp;MATCH($S1025&amp;$J1025,SorP!C:C,0))))</f>
        <v/>
      </c>
      <c r="U1025" s="194"/>
      <c r="V1025" s="218" t="e">
        <f>IF(C1025="",NA(),IF(OR(C1025="Smelter not listed",C1025="Smelter not yet identified"),MATCH($B1025&amp;$D1025,'Smelter Look-up'!$J:$J,0),MATCH($B1025&amp;$C1025,'Smelter Look-up'!$J:$J,0)))</f>
        <v>#N/A</v>
      </c>
      <c r="X1025" s="219">
        <f t="shared" ca="1" si="148"/>
        <v>0</v>
      </c>
      <c r="AB1025" s="220" t="str">
        <f t="shared" si="149"/>
        <v/>
      </c>
    </row>
    <row r="1026" spans="1:28" s="219" customFormat="1" ht="20.25">
      <c r="A1026" s="174"/>
      <c r="B1026" s="175" t="str">
        <f>IF(LEN(A1026)=0,"",INDEX('Smelter Look-up'!$A:$A,MATCH($A1026,'Smelter Look-up'!$E:$E,0)))</f>
        <v/>
      </c>
      <c r="C1026" s="179" t="str">
        <f>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47"/>
        <v/>
      </c>
      <c r="T1026" s="174" t="str">
        <f ca="1">IF(B1026="","",IF(ISERROR(MATCH($J1026,SorP!$B$1:$B$6279,0)),"",INDIRECT("'SorP'!$A$"&amp;MATCH($S1026&amp;$J1026,SorP!C:C,0))))</f>
        <v/>
      </c>
      <c r="U1026" s="194"/>
      <c r="V1026" s="218" t="e">
        <f>IF(C1026="",NA(),IF(OR(C1026="Smelter not listed",C1026="Smelter not yet identified"),MATCH($B1026&amp;$D1026,'Smelter Look-up'!$J:$J,0),MATCH($B1026&amp;$C1026,'Smelter Look-up'!$J:$J,0)))</f>
        <v>#N/A</v>
      </c>
      <c r="X1026" s="219">
        <f t="shared" ca="1" si="148"/>
        <v>0</v>
      </c>
      <c r="AB1026" s="220" t="str">
        <f t="shared" si="149"/>
        <v/>
      </c>
    </row>
    <row r="1027" spans="1:28" s="219" customFormat="1" ht="20.25">
      <c r="A1027" s="174"/>
      <c r="B1027" s="175" t="str">
        <f>IF(LEN(A1027)=0,"",INDEX('Smelter Look-up'!$A:$A,MATCH($A1027,'Smelter Look-up'!$E:$E,0)))</f>
        <v/>
      </c>
      <c r="C1027" s="179" t="str">
        <f>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47"/>
        <v/>
      </c>
      <c r="T1027" s="174" t="str">
        <f ca="1">IF(B1027="","",IF(ISERROR(MATCH($J1027,SorP!$B$1:$B$6279,0)),"",INDIRECT("'SorP'!$A$"&amp;MATCH($S1027&amp;$J1027,SorP!C:C,0))))</f>
        <v/>
      </c>
      <c r="U1027" s="194"/>
      <c r="V1027" s="218" t="e">
        <f>IF(C1027="",NA(),IF(OR(C1027="Smelter not listed",C1027="Smelter not yet identified"),MATCH($B1027&amp;$D1027,'Smelter Look-up'!$J:$J,0),MATCH($B1027&amp;$C1027,'Smelter Look-up'!$J:$J,0)))</f>
        <v>#N/A</v>
      </c>
      <c r="X1027" s="219">
        <f t="shared" ca="1" si="148"/>
        <v>0</v>
      </c>
      <c r="AB1027" s="220" t="str">
        <f t="shared" si="149"/>
        <v/>
      </c>
    </row>
    <row r="1028" spans="1:28" s="219" customFormat="1" ht="20.25">
      <c r="A1028" s="174"/>
      <c r="B1028" s="175" t="str">
        <f>IF(LEN(A1028)=0,"",INDEX('Smelter Look-up'!$A:$A,MATCH($A1028,'Smelter Look-up'!$E:$E,0)))</f>
        <v/>
      </c>
      <c r="C1028" s="179" t="str">
        <f>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47"/>
        <v/>
      </c>
      <c r="T1028" s="174" t="str">
        <f ca="1">IF(B1028="","",IF(ISERROR(MATCH($J1028,SorP!$B$1:$B$6279,0)),"",INDIRECT("'SorP'!$A$"&amp;MATCH($S1028&amp;$J1028,SorP!C:C,0))))</f>
        <v/>
      </c>
      <c r="U1028" s="194"/>
      <c r="V1028" s="218" t="e">
        <f>IF(C1028="",NA(),IF(OR(C1028="Smelter not listed",C1028="Smelter not yet identified"),MATCH($B1028&amp;$D1028,'Smelter Look-up'!$J:$J,0),MATCH($B1028&amp;$C1028,'Smelter Look-up'!$J:$J,0)))</f>
        <v>#N/A</v>
      </c>
      <c r="X1028" s="219">
        <f t="shared" ca="1" si="148"/>
        <v>0</v>
      </c>
      <c r="AB1028" s="220" t="str">
        <f t="shared" si="149"/>
        <v/>
      </c>
    </row>
    <row r="1029" spans="1:28" s="219" customFormat="1" ht="20.25">
      <c r="A1029" s="174"/>
      <c r="B1029" s="175" t="str">
        <f>IF(LEN(A1029)=0,"",INDEX('Smelter Look-up'!$A:$A,MATCH($A1029,'Smelter Look-up'!$E:$E,0)))</f>
        <v/>
      </c>
      <c r="C1029" s="179" t="str">
        <f>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47"/>
        <v/>
      </c>
      <c r="T1029" s="174" t="str">
        <f ca="1">IF(B1029="","",IF(ISERROR(MATCH($J1029,SorP!$B$1:$B$6279,0)),"",INDIRECT("'SorP'!$A$"&amp;MATCH($S1029&amp;$J1029,SorP!C:C,0))))</f>
        <v/>
      </c>
      <c r="U1029" s="194"/>
      <c r="V1029" s="218" t="e">
        <f>IF(C1029="",NA(),IF(OR(C1029="Smelter not listed",C1029="Smelter not yet identified"),MATCH($B1029&amp;$D1029,'Smelter Look-up'!$J:$J,0),MATCH($B1029&amp;$C1029,'Smelter Look-up'!$J:$J,0)))</f>
        <v>#N/A</v>
      </c>
      <c r="X1029" s="219">
        <f t="shared" ca="1" si="148"/>
        <v>0</v>
      </c>
      <c r="AB1029" s="220" t="str">
        <f t="shared" si="149"/>
        <v/>
      </c>
    </row>
    <row r="1030" spans="1:28" s="219" customFormat="1" ht="20.25">
      <c r="A1030" s="174"/>
      <c r="B1030" s="175" t="str">
        <f>IF(LEN(A1030)=0,"",INDEX('Smelter Look-up'!$A:$A,MATCH($A1030,'Smelter Look-up'!$E:$E,0)))</f>
        <v/>
      </c>
      <c r="C1030" s="179" t="str">
        <f>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47"/>
        <v/>
      </c>
      <c r="T1030" s="174" t="str">
        <f ca="1">IF(B1030="","",IF(ISERROR(MATCH($J1030,SorP!$B$1:$B$6279,0)),"",INDIRECT("'SorP'!$A$"&amp;MATCH($S1030&amp;$J1030,SorP!C:C,0))))</f>
        <v/>
      </c>
      <c r="U1030" s="194"/>
      <c r="V1030" s="218" t="e">
        <f>IF(C1030="",NA(),IF(OR(C1030="Smelter not listed",C1030="Smelter not yet identified"),MATCH($B1030&amp;$D1030,'Smelter Look-up'!$J:$J,0),MATCH($B1030&amp;$C1030,'Smelter Look-up'!$J:$J,0)))</f>
        <v>#N/A</v>
      </c>
      <c r="X1030" s="219">
        <f t="shared" ca="1" si="148"/>
        <v>0</v>
      </c>
      <c r="AB1030" s="220" t="str">
        <f t="shared" si="149"/>
        <v/>
      </c>
    </row>
    <row r="1031" spans="1:28" s="219" customFormat="1" ht="20.25">
      <c r="A1031" s="174"/>
      <c r="B1031" s="175" t="str">
        <f>IF(LEN(A1031)=0,"",INDEX('Smelter Look-up'!$A:$A,MATCH($A1031,'Smelter Look-up'!$E:$E,0)))</f>
        <v/>
      </c>
      <c r="C1031" s="179" t="str">
        <f>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47"/>
        <v/>
      </c>
      <c r="T1031" s="174" t="str">
        <f ca="1">IF(B1031="","",IF(ISERROR(MATCH($J1031,SorP!$B$1:$B$6279,0)),"",INDIRECT("'SorP'!$A$"&amp;MATCH($S1031&amp;$J1031,SorP!C:C,0))))</f>
        <v/>
      </c>
      <c r="U1031" s="194"/>
      <c r="V1031" s="218" t="e">
        <f>IF(C1031="",NA(),IF(OR(C1031="Smelter not listed",C1031="Smelter not yet identified"),MATCH($B1031&amp;$D1031,'Smelter Look-up'!$J:$J,0),MATCH($B1031&amp;$C1031,'Smelter Look-up'!$J:$J,0)))</f>
        <v>#N/A</v>
      </c>
      <c r="X1031" s="219">
        <f t="shared" ca="1" si="148"/>
        <v>0</v>
      </c>
      <c r="AB1031" s="220" t="str">
        <f t="shared" si="149"/>
        <v/>
      </c>
    </row>
    <row r="1032" spans="1:28" s="219" customFormat="1" ht="20.25">
      <c r="A1032" s="174"/>
      <c r="B1032" s="175" t="str">
        <f>IF(LEN(A1032)=0,"",INDEX('Smelter Look-up'!$A:$A,MATCH($A1032,'Smelter Look-up'!$E:$E,0)))</f>
        <v/>
      </c>
      <c r="C1032" s="179" t="str">
        <f>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47"/>
        <v/>
      </c>
      <c r="T1032" s="174" t="str">
        <f ca="1">IF(B1032="","",IF(ISERROR(MATCH($J1032,SorP!$B$1:$B$6279,0)),"",INDIRECT("'SorP'!$A$"&amp;MATCH($S1032&amp;$J1032,SorP!C:C,0))))</f>
        <v/>
      </c>
      <c r="U1032" s="194"/>
      <c r="V1032" s="218" t="e">
        <f>IF(C1032="",NA(),IF(OR(C1032="Smelter not listed",C1032="Smelter not yet identified"),MATCH($B1032&amp;$D1032,'Smelter Look-up'!$J:$J,0),MATCH($B1032&amp;$C1032,'Smelter Look-up'!$J:$J,0)))</f>
        <v>#N/A</v>
      </c>
      <c r="X1032" s="219">
        <f t="shared" ca="1" si="148"/>
        <v>0</v>
      </c>
      <c r="AB1032" s="220" t="str">
        <f t="shared" si="149"/>
        <v/>
      </c>
    </row>
    <row r="1033" spans="1:28" s="219" customFormat="1" ht="20.25">
      <c r="A1033" s="174"/>
      <c r="B1033" s="175" t="str">
        <f>IF(LEN(A1033)=0,"",INDEX('Smelter Look-up'!$A:$A,MATCH($A1033,'Smelter Look-up'!$E:$E,0)))</f>
        <v/>
      </c>
      <c r="C1033" s="179" t="str">
        <f>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47"/>
        <v/>
      </c>
      <c r="T1033" s="174" t="str">
        <f ca="1">IF(B1033="","",IF(ISERROR(MATCH($J1033,SorP!$B$1:$B$6279,0)),"",INDIRECT("'SorP'!$A$"&amp;MATCH($S1033&amp;$J1033,SorP!C:C,0))))</f>
        <v/>
      </c>
      <c r="U1033" s="194"/>
      <c r="V1033" s="218" t="e">
        <f>IF(C1033="",NA(),IF(OR(C1033="Smelter not listed",C1033="Smelter not yet identified"),MATCH($B1033&amp;$D1033,'Smelter Look-up'!$J:$J,0),MATCH($B1033&amp;$C1033,'Smelter Look-up'!$J:$J,0)))</f>
        <v>#N/A</v>
      </c>
      <c r="X1033" s="219">
        <f t="shared" ca="1" si="148"/>
        <v>0</v>
      </c>
      <c r="AB1033" s="220" t="str">
        <f t="shared" si="149"/>
        <v/>
      </c>
    </row>
    <row r="1034" spans="1:28" s="219" customFormat="1" ht="20.25">
      <c r="A1034" s="174"/>
      <c r="B1034" s="175" t="str">
        <f>IF(LEN(A1034)=0,"",INDEX('Smelter Look-up'!$A:$A,MATCH($A1034,'Smelter Look-up'!$E:$E,0)))</f>
        <v/>
      </c>
      <c r="C1034" s="179" t="str">
        <f>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47"/>
        <v/>
      </c>
      <c r="T1034" s="174" t="str">
        <f ca="1">IF(B1034="","",IF(ISERROR(MATCH($J1034,SorP!$B$1:$B$6279,0)),"",INDIRECT("'SorP'!$A$"&amp;MATCH($S1034&amp;$J1034,SorP!C:C,0))))</f>
        <v/>
      </c>
      <c r="U1034" s="194"/>
      <c r="V1034" s="218" t="e">
        <f>IF(C1034="",NA(),IF(OR(C1034="Smelter not listed",C1034="Smelter not yet identified"),MATCH($B1034&amp;$D1034,'Smelter Look-up'!$J:$J,0),MATCH($B1034&amp;$C1034,'Smelter Look-up'!$J:$J,0)))</f>
        <v>#N/A</v>
      </c>
      <c r="X1034" s="219">
        <f t="shared" ca="1" si="148"/>
        <v>0</v>
      </c>
      <c r="AB1034" s="220" t="str">
        <f t="shared" si="149"/>
        <v/>
      </c>
    </row>
    <row r="1035" spans="1:28" s="219" customFormat="1" ht="20.25">
      <c r="A1035" s="174"/>
      <c r="B1035" s="175" t="str">
        <f>IF(LEN(A1035)=0,"",INDEX('Smelter Look-up'!$A:$A,MATCH($A1035,'Smelter Look-up'!$E:$E,0)))</f>
        <v/>
      </c>
      <c r="C1035" s="179" t="str">
        <f>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47"/>
        <v/>
      </c>
      <c r="T1035" s="174" t="str">
        <f ca="1">IF(B1035="","",IF(ISERROR(MATCH($J1035,SorP!$B$1:$B$6279,0)),"",INDIRECT("'SorP'!$A$"&amp;MATCH($S1035&amp;$J1035,SorP!C:C,0))))</f>
        <v/>
      </c>
      <c r="U1035" s="194"/>
      <c r="V1035" s="218" t="e">
        <f>IF(C1035="",NA(),IF(OR(C1035="Smelter not listed",C1035="Smelter not yet identified"),MATCH($B1035&amp;$D1035,'Smelter Look-up'!$J:$J,0),MATCH($B1035&amp;$C1035,'Smelter Look-up'!$J:$J,0)))</f>
        <v>#N/A</v>
      </c>
      <c r="X1035" s="219">
        <f t="shared" ca="1" si="148"/>
        <v>0</v>
      </c>
      <c r="AB1035" s="220" t="str">
        <f t="shared" si="149"/>
        <v/>
      </c>
    </row>
    <row r="1036" spans="1:28" s="219" customFormat="1" ht="20.25">
      <c r="A1036" s="174"/>
      <c r="B1036" s="175" t="str">
        <f>IF(LEN(A1036)=0,"",INDEX('Smelter Look-up'!$A:$A,MATCH($A1036,'Smelter Look-up'!$E:$E,0)))</f>
        <v/>
      </c>
      <c r="C1036" s="179" t="str">
        <f>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47"/>
        <v/>
      </c>
      <c r="T1036" s="174" t="str">
        <f ca="1">IF(B1036="","",IF(ISERROR(MATCH($J1036,SorP!$B$1:$B$6279,0)),"",INDIRECT("'SorP'!$A$"&amp;MATCH($S1036&amp;$J1036,SorP!C:C,0))))</f>
        <v/>
      </c>
      <c r="U1036" s="194"/>
      <c r="V1036" s="218" t="e">
        <f>IF(C1036="",NA(),IF(OR(C1036="Smelter not listed",C1036="Smelter not yet identified"),MATCH($B1036&amp;$D1036,'Smelter Look-up'!$J:$J,0),MATCH($B1036&amp;$C1036,'Smelter Look-up'!$J:$J,0)))</f>
        <v>#N/A</v>
      </c>
      <c r="X1036" s="219">
        <f t="shared" ca="1" si="148"/>
        <v>0</v>
      </c>
      <c r="AB1036" s="220" t="str">
        <f t="shared" si="149"/>
        <v/>
      </c>
    </row>
    <row r="1037" spans="1:28" s="219" customFormat="1" ht="20.25">
      <c r="A1037" s="174"/>
      <c r="B1037" s="175" t="str">
        <f>IF(LEN(A1037)=0,"",INDEX('Smelter Look-up'!$A:$A,MATCH($A1037,'Smelter Look-up'!$E:$E,0)))</f>
        <v/>
      </c>
      <c r="C1037" s="179" t="str">
        <f>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47"/>
        <v/>
      </c>
      <c r="T1037" s="174" t="str">
        <f ca="1">IF(B1037="","",IF(ISERROR(MATCH($J1037,SorP!$B$1:$B$6279,0)),"",INDIRECT("'SorP'!$A$"&amp;MATCH($S1037&amp;$J1037,SorP!C:C,0))))</f>
        <v/>
      </c>
      <c r="U1037" s="194"/>
      <c r="V1037" s="218" t="e">
        <f>IF(C1037="",NA(),IF(OR(C1037="Smelter not listed",C1037="Smelter not yet identified"),MATCH($B1037&amp;$D1037,'Smelter Look-up'!$J:$J,0),MATCH($B1037&amp;$C1037,'Smelter Look-up'!$J:$J,0)))</f>
        <v>#N/A</v>
      </c>
      <c r="X1037" s="219">
        <f t="shared" ca="1" si="148"/>
        <v>0</v>
      </c>
      <c r="AB1037" s="220" t="str">
        <f t="shared" si="149"/>
        <v/>
      </c>
    </row>
    <row r="1038" spans="1:28" s="219" customFormat="1" ht="20.25">
      <c r="A1038" s="174"/>
      <c r="B1038" s="175" t="str">
        <f>IF(LEN(A1038)=0,"",INDEX('Smelter Look-up'!$A:$A,MATCH($A1038,'Smelter Look-up'!$E:$E,0)))</f>
        <v/>
      </c>
      <c r="C1038" s="179" t="str">
        <f>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47"/>
        <v/>
      </c>
      <c r="T1038" s="174" t="str">
        <f ca="1">IF(B1038="","",IF(ISERROR(MATCH($J1038,SorP!$B$1:$B$6279,0)),"",INDIRECT("'SorP'!$A$"&amp;MATCH($S1038&amp;$J1038,SorP!C:C,0))))</f>
        <v/>
      </c>
      <c r="U1038" s="194"/>
      <c r="V1038" s="218" t="e">
        <f>IF(C1038="",NA(),IF(OR(C1038="Smelter not listed",C1038="Smelter not yet identified"),MATCH($B1038&amp;$D1038,'Smelter Look-up'!$J:$J,0),MATCH($B1038&amp;$C1038,'Smelter Look-up'!$J:$J,0)))</f>
        <v>#N/A</v>
      </c>
      <c r="X1038" s="219">
        <f t="shared" ca="1" si="148"/>
        <v>0</v>
      </c>
      <c r="AB1038" s="220" t="str">
        <f t="shared" si="149"/>
        <v/>
      </c>
    </row>
    <row r="1039" spans="1:28" s="219" customFormat="1" ht="20.25">
      <c r="A1039" s="174"/>
      <c r="B1039" s="175" t="str">
        <f>IF(LEN(A1039)=0,"",INDEX('Smelter Look-up'!$A:$A,MATCH($A1039,'Smelter Look-up'!$E:$E,0)))</f>
        <v/>
      </c>
      <c r="C1039" s="179" t="str">
        <f>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47"/>
        <v/>
      </c>
      <c r="T1039" s="174" t="str">
        <f ca="1">IF(B1039="","",IF(ISERROR(MATCH($J1039,SorP!$B$1:$B$6279,0)),"",INDIRECT("'SorP'!$A$"&amp;MATCH($S1039&amp;$J1039,SorP!C:C,0))))</f>
        <v/>
      </c>
      <c r="U1039" s="194"/>
      <c r="V1039" s="218" t="e">
        <f>IF(C1039="",NA(),IF(OR(C1039="Smelter not listed",C1039="Smelter not yet identified"),MATCH($B1039&amp;$D1039,'Smelter Look-up'!$J:$J,0),MATCH($B1039&amp;$C1039,'Smelter Look-up'!$J:$J,0)))</f>
        <v>#N/A</v>
      </c>
      <c r="X1039" s="219">
        <f t="shared" ca="1" si="148"/>
        <v>0</v>
      </c>
      <c r="AB1039" s="220" t="str">
        <f t="shared" si="149"/>
        <v/>
      </c>
    </row>
    <row r="1040" spans="1:28" s="219" customFormat="1" ht="20.25">
      <c r="A1040" s="174"/>
      <c r="B1040" s="175" t="str">
        <f>IF(LEN(A1040)=0,"",INDEX('Smelter Look-up'!$A:$A,MATCH($A1040,'Smelter Look-up'!$E:$E,0)))</f>
        <v/>
      </c>
      <c r="C1040" s="179" t="str">
        <f>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47"/>
        <v/>
      </c>
      <c r="T1040" s="174" t="str">
        <f ca="1">IF(B1040="","",IF(ISERROR(MATCH($J1040,SorP!$B$1:$B$6279,0)),"",INDIRECT("'SorP'!$A$"&amp;MATCH($S1040&amp;$J1040,SorP!C:C,0))))</f>
        <v/>
      </c>
      <c r="U1040" s="194"/>
      <c r="V1040" s="218" t="e">
        <f>IF(C1040="",NA(),IF(OR(C1040="Smelter not listed",C1040="Smelter not yet identified"),MATCH($B1040&amp;$D1040,'Smelter Look-up'!$J:$J,0),MATCH($B1040&amp;$C1040,'Smelter Look-up'!$J:$J,0)))</f>
        <v>#N/A</v>
      </c>
      <c r="X1040" s="219">
        <f t="shared" ca="1" si="148"/>
        <v>0</v>
      </c>
      <c r="AB1040" s="220" t="str">
        <f t="shared" si="149"/>
        <v/>
      </c>
    </row>
    <row r="1041" spans="1:28" s="219" customFormat="1" ht="20.25">
      <c r="A1041" s="174"/>
      <c r="B1041" s="175" t="str">
        <f>IF(LEN(A1041)=0,"",INDEX('Smelter Look-up'!$A:$A,MATCH($A1041,'Smelter Look-up'!$E:$E,0)))</f>
        <v/>
      </c>
      <c r="C1041" s="179" t="str">
        <f>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47"/>
        <v/>
      </c>
      <c r="T1041" s="174" t="str">
        <f ca="1">IF(B1041="","",IF(ISERROR(MATCH($J1041,SorP!$B$1:$B$6279,0)),"",INDIRECT("'SorP'!$A$"&amp;MATCH($S1041&amp;$J1041,SorP!C:C,0))))</f>
        <v/>
      </c>
      <c r="U1041" s="194"/>
      <c r="V1041" s="218" t="e">
        <f>IF(C1041="",NA(),IF(OR(C1041="Smelter not listed",C1041="Smelter not yet identified"),MATCH($B1041&amp;$D1041,'Smelter Look-up'!$J:$J,0),MATCH($B1041&amp;$C1041,'Smelter Look-up'!$J:$J,0)))</f>
        <v>#N/A</v>
      </c>
      <c r="X1041" s="219">
        <f t="shared" ca="1" si="148"/>
        <v>0</v>
      </c>
      <c r="AB1041" s="220" t="str">
        <f t="shared" si="149"/>
        <v/>
      </c>
    </row>
    <row r="1042" spans="1:28" s="219" customFormat="1" ht="20.25">
      <c r="A1042" s="174"/>
      <c r="B1042" s="175" t="str">
        <f>IF(LEN(A1042)=0,"",INDEX('Smelter Look-up'!$A:$A,MATCH($A1042,'Smelter Look-up'!$E:$E,0)))</f>
        <v/>
      </c>
      <c r="C1042" s="179" t="str">
        <f>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147"/>
        <v/>
      </c>
      <c r="T1042" s="174" t="str">
        <f ca="1">IF(B1042="","",IF(ISERROR(MATCH($J1042,SorP!$B$1:$B$6279,0)),"",INDIRECT("'SorP'!$A$"&amp;MATCH($S1042&amp;$J1042,SorP!C:C,0))))</f>
        <v/>
      </c>
      <c r="U1042" s="194"/>
      <c r="V1042" s="218" t="e">
        <f>IF(C1042="",NA(),IF(OR(C1042="Smelter not listed",C1042="Smelter not yet identified"),MATCH($B1042&amp;$D1042,'Smelter Look-up'!$J:$J,0),MATCH($B1042&amp;$C1042,'Smelter Look-up'!$J:$J,0)))</f>
        <v>#N/A</v>
      </c>
      <c r="X1042" s="219">
        <f t="shared" ca="1" si="148"/>
        <v>0</v>
      </c>
      <c r="AB1042" s="220" t="str">
        <f t="shared" si="149"/>
        <v/>
      </c>
    </row>
    <row r="1043" spans="1:28" s="219" customFormat="1" ht="20.25">
      <c r="A1043" s="174"/>
      <c r="B1043" s="175" t="str">
        <f>IF(LEN(A1043)=0,"",INDEX('Smelter Look-up'!$A:$A,MATCH($A1043,'Smelter Look-up'!$E:$E,0)))</f>
        <v/>
      </c>
      <c r="C1043" s="179" t="str">
        <f>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147"/>
        <v/>
      </c>
      <c r="T1043" s="174" t="str">
        <f ca="1">IF(B1043="","",IF(ISERROR(MATCH($J1043,SorP!$B$1:$B$6279,0)),"",INDIRECT("'SorP'!$A$"&amp;MATCH($S1043&amp;$J1043,SorP!C:C,0))))</f>
        <v/>
      </c>
      <c r="U1043" s="194"/>
      <c r="V1043" s="218" t="e">
        <f>IF(C1043="",NA(),IF(OR(C1043="Smelter not listed",C1043="Smelter not yet identified"),MATCH($B1043&amp;$D1043,'Smelter Look-up'!$J:$J,0),MATCH($B1043&amp;$C1043,'Smelter Look-up'!$J:$J,0)))</f>
        <v>#N/A</v>
      </c>
      <c r="X1043" s="219">
        <f t="shared" ca="1" si="148"/>
        <v>0</v>
      </c>
      <c r="AB1043" s="220" t="str">
        <f t="shared" si="149"/>
        <v/>
      </c>
    </row>
    <row r="1044" spans="1:28" s="219" customFormat="1" ht="20.25">
      <c r="A1044" s="174"/>
      <c r="B1044" s="175" t="str">
        <f>IF(LEN(A1044)=0,"",INDEX('Smelter Look-up'!$A:$A,MATCH($A1044,'Smelter Look-up'!$E:$E,0)))</f>
        <v/>
      </c>
      <c r="C1044" s="179" t="str">
        <f>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47"/>
        <v/>
      </c>
      <c r="T1044" s="174" t="str">
        <f ca="1">IF(B1044="","",IF(ISERROR(MATCH($J1044,SorP!$B$1:$B$6279,0)),"",INDIRECT("'SorP'!$A$"&amp;MATCH($S1044&amp;$J1044,SorP!C:C,0))))</f>
        <v/>
      </c>
      <c r="U1044" s="194"/>
      <c r="V1044" s="218" t="e">
        <f>IF(C1044="",NA(),IF(OR(C1044="Smelter not listed",C1044="Smelter not yet identified"),MATCH($B1044&amp;$D1044,'Smelter Look-up'!$J:$J,0),MATCH($B1044&amp;$C1044,'Smelter Look-up'!$J:$J,0)))</f>
        <v>#N/A</v>
      </c>
      <c r="X1044" s="219">
        <f t="shared" ca="1" si="148"/>
        <v>0</v>
      </c>
      <c r="AB1044" s="220" t="str">
        <f t="shared" si="149"/>
        <v/>
      </c>
    </row>
    <row r="1045" spans="1:28" s="219" customFormat="1" ht="20.25">
      <c r="A1045" s="174"/>
      <c r="B1045" s="175" t="str">
        <f>IF(LEN(A1045)=0,"",INDEX('Smelter Look-up'!$A:$A,MATCH($A1045,'Smelter Look-up'!$E:$E,0)))</f>
        <v/>
      </c>
      <c r="C1045" s="179" t="str">
        <f>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47"/>
        <v/>
      </c>
      <c r="T1045" s="174" t="str">
        <f ca="1">IF(B1045="","",IF(ISERROR(MATCH($J1045,SorP!$B$1:$B$6279,0)),"",INDIRECT("'SorP'!$A$"&amp;MATCH($S1045&amp;$J1045,SorP!C:C,0))))</f>
        <v/>
      </c>
      <c r="U1045" s="194"/>
      <c r="V1045" s="218" t="e">
        <f>IF(C1045="",NA(),IF(OR(C1045="Smelter not listed",C1045="Smelter not yet identified"),MATCH($B1045&amp;$D1045,'Smelter Look-up'!$J:$J,0),MATCH($B1045&amp;$C1045,'Smelter Look-up'!$J:$J,0)))</f>
        <v>#N/A</v>
      </c>
      <c r="X1045" s="219">
        <f t="shared" ca="1" si="148"/>
        <v>0</v>
      </c>
      <c r="AB1045" s="220" t="str">
        <f t="shared" si="149"/>
        <v/>
      </c>
    </row>
    <row r="1046" spans="1:28" s="219" customFormat="1" ht="20.25">
      <c r="A1046" s="174"/>
      <c r="B1046" s="175" t="str">
        <f>IF(LEN(A1046)=0,"",INDEX('Smelter Look-up'!$A:$A,MATCH($A1046,'Smelter Look-up'!$E:$E,0)))</f>
        <v/>
      </c>
      <c r="C1046" s="179" t="str">
        <f>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47"/>
        <v/>
      </c>
      <c r="T1046" s="174" t="str">
        <f ca="1">IF(B1046="","",IF(ISERROR(MATCH($J1046,SorP!$B$1:$B$6279,0)),"",INDIRECT("'SorP'!$A$"&amp;MATCH($S1046&amp;$J1046,SorP!C:C,0))))</f>
        <v/>
      </c>
      <c r="U1046" s="194"/>
      <c r="V1046" s="218" t="e">
        <f>IF(C1046="",NA(),IF(OR(C1046="Smelter not listed",C1046="Smelter not yet identified"),MATCH($B1046&amp;$D1046,'Smelter Look-up'!$J:$J,0),MATCH($B1046&amp;$C1046,'Smelter Look-up'!$J:$J,0)))</f>
        <v>#N/A</v>
      </c>
      <c r="X1046" s="219">
        <f t="shared" ca="1" si="148"/>
        <v>0</v>
      </c>
      <c r="AB1046" s="220" t="str">
        <f t="shared" si="149"/>
        <v/>
      </c>
    </row>
    <row r="1047" spans="1:28" s="219" customFormat="1" ht="20.25">
      <c r="A1047" s="174"/>
      <c r="B1047" s="175" t="str">
        <f>IF(LEN(A1047)=0,"",INDEX('Smelter Look-up'!$A:$A,MATCH($A1047,'Smelter Look-up'!$E:$E,0)))</f>
        <v/>
      </c>
      <c r="C1047" s="179" t="str">
        <f>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47"/>
        <v/>
      </c>
      <c r="T1047" s="174" t="str">
        <f ca="1">IF(B1047="","",IF(ISERROR(MATCH($J1047,SorP!$B$1:$B$6279,0)),"",INDIRECT("'SorP'!$A$"&amp;MATCH($S1047&amp;$J1047,SorP!C:C,0))))</f>
        <v/>
      </c>
      <c r="U1047" s="194"/>
      <c r="V1047" s="218" t="e">
        <f>IF(C1047="",NA(),IF(OR(C1047="Smelter not listed",C1047="Smelter not yet identified"),MATCH($B1047&amp;$D1047,'Smelter Look-up'!$J:$J,0),MATCH($B1047&amp;$C1047,'Smelter Look-up'!$J:$J,0)))</f>
        <v>#N/A</v>
      </c>
      <c r="X1047" s="219">
        <f t="shared" ca="1" si="148"/>
        <v>0</v>
      </c>
      <c r="AB1047" s="220" t="str">
        <f t="shared" si="149"/>
        <v/>
      </c>
    </row>
    <row r="1048" spans="1:28" s="219" customFormat="1" ht="20.25">
      <c r="A1048" s="174"/>
      <c r="B1048" s="175" t="str">
        <f>IF(LEN(A1048)=0,"",INDEX('Smelter Look-up'!$A:$A,MATCH($A1048,'Smelter Look-up'!$E:$E,0)))</f>
        <v/>
      </c>
      <c r="C1048" s="179" t="str">
        <f>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47"/>
        <v/>
      </c>
      <c r="T1048" s="174" t="str">
        <f ca="1">IF(B1048="","",IF(ISERROR(MATCH($J1048,SorP!$B$1:$B$6279,0)),"",INDIRECT("'SorP'!$A$"&amp;MATCH($S1048&amp;$J1048,SorP!C:C,0))))</f>
        <v/>
      </c>
      <c r="U1048" s="194"/>
      <c r="V1048" s="218" t="e">
        <f>IF(C1048="",NA(),IF(OR(C1048="Smelter not listed",C1048="Smelter not yet identified"),MATCH($B1048&amp;$D1048,'Smelter Look-up'!$J:$J,0),MATCH($B1048&amp;$C1048,'Smelter Look-up'!$J:$J,0)))</f>
        <v>#N/A</v>
      </c>
      <c r="X1048" s="219">
        <f t="shared" ca="1" si="148"/>
        <v>0</v>
      </c>
      <c r="AB1048" s="220" t="str">
        <f t="shared" si="149"/>
        <v/>
      </c>
    </row>
    <row r="1049" spans="1:28" s="219" customFormat="1" ht="20.25">
      <c r="A1049" s="174"/>
      <c r="B1049" s="175" t="str">
        <f>IF(LEN(A1049)=0,"",INDEX('Smelter Look-up'!$A:$A,MATCH($A1049,'Smelter Look-up'!$E:$E,0)))</f>
        <v/>
      </c>
      <c r="C1049" s="179" t="str">
        <f>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47"/>
        <v/>
      </c>
      <c r="T1049" s="174" t="str">
        <f ca="1">IF(B1049="","",IF(ISERROR(MATCH($J1049,SorP!$B$1:$B$6279,0)),"",INDIRECT("'SorP'!$A$"&amp;MATCH($S1049&amp;$J1049,SorP!C:C,0))))</f>
        <v/>
      </c>
      <c r="U1049" s="194"/>
      <c r="V1049" s="218" t="e">
        <f>IF(C1049="",NA(),IF(OR(C1049="Smelter not listed",C1049="Smelter not yet identified"),MATCH($B1049&amp;$D1049,'Smelter Look-up'!$J:$J,0),MATCH($B1049&amp;$C1049,'Smelter Look-up'!$J:$J,0)))</f>
        <v>#N/A</v>
      </c>
      <c r="X1049" s="219">
        <f t="shared" ca="1" si="148"/>
        <v>0</v>
      </c>
      <c r="AB1049" s="220" t="str">
        <f t="shared" si="149"/>
        <v/>
      </c>
    </row>
    <row r="1050" spans="1:28" s="219" customFormat="1" ht="20.25">
      <c r="A1050" s="174"/>
      <c r="B1050" s="175" t="str">
        <f>IF(LEN(A1050)=0,"",INDEX('Smelter Look-up'!$A:$A,MATCH($A1050,'Smelter Look-up'!$E:$E,0)))</f>
        <v/>
      </c>
      <c r="C1050" s="179" t="str">
        <f>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147"/>
        <v/>
      </c>
      <c r="T1050" s="174" t="str">
        <f ca="1">IF(B1050="","",IF(ISERROR(MATCH($J1050,SorP!$B$1:$B$6279,0)),"",INDIRECT("'SorP'!$A$"&amp;MATCH($S1050&amp;$J1050,SorP!C:C,0))))</f>
        <v/>
      </c>
      <c r="U1050" s="194"/>
      <c r="V1050" s="218" t="e">
        <f>IF(C1050="",NA(),IF(OR(C1050="Smelter not listed",C1050="Smelter not yet identified"),MATCH($B1050&amp;$D1050,'Smelter Look-up'!$J:$J,0),MATCH($B1050&amp;$C1050,'Smelter Look-up'!$J:$J,0)))</f>
        <v>#N/A</v>
      </c>
      <c r="X1050" s="219">
        <f t="shared" ca="1" si="148"/>
        <v>0</v>
      </c>
      <c r="AB1050" s="220" t="str">
        <f t="shared" si="149"/>
        <v/>
      </c>
    </row>
    <row r="1051" spans="1:28" s="219" customFormat="1" ht="20.25">
      <c r="A1051" s="174"/>
      <c r="B1051" s="175" t="str">
        <f>IF(LEN(A1051)=0,"",INDEX('Smelter Look-up'!$A:$A,MATCH($A1051,'Smelter Look-up'!$E:$E,0)))</f>
        <v/>
      </c>
      <c r="C1051" s="179" t="str">
        <f>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147"/>
        <v/>
      </c>
      <c r="T1051" s="174" t="str">
        <f ca="1">IF(B1051="","",IF(ISERROR(MATCH($J1051,SorP!$B$1:$B$6279,0)),"",INDIRECT("'SorP'!$A$"&amp;MATCH($S1051&amp;$J1051,SorP!C:C,0))))</f>
        <v/>
      </c>
      <c r="U1051" s="194"/>
      <c r="V1051" s="218" t="e">
        <f>IF(C1051="",NA(),IF(OR(C1051="Smelter not listed",C1051="Smelter not yet identified"),MATCH($B1051&amp;$D1051,'Smelter Look-up'!$J:$J,0),MATCH($B1051&amp;$C1051,'Smelter Look-up'!$J:$J,0)))</f>
        <v>#N/A</v>
      </c>
      <c r="X1051" s="219">
        <f t="shared" ca="1" si="148"/>
        <v>0</v>
      </c>
      <c r="AB1051" s="220" t="str">
        <f t="shared" si="149"/>
        <v/>
      </c>
    </row>
    <row r="1052" spans="1:28" s="219" customFormat="1" ht="20.25">
      <c r="A1052" s="174"/>
      <c r="B1052" s="175" t="str">
        <f>IF(LEN(A1052)=0,"",INDEX('Smelter Look-up'!$A:$A,MATCH($A1052,'Smelter Look-up'!$E:$E,0)))</f>
        <v/>
      </c>
      <c r="C1052" s="179" t="str">
        <f>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ref="S1052:S1082" ca="1" si="150">IF(B1052="","",IF(ISERROR(MATCH($E1052,CL,0)),"Unknown",INDIRECT("'C'!$A$"&amp;MATCH($E1052,CL,0)+1)))</f>
        <v/>
      </c>
      <c r="T1052" s="174" t="str">
        <f ca="1">IF(B1052="","",IF(ISERROR(MATCH($J1052,SorP!$B$1:$B$6279,0)),"",INDIRECT("'SorP'!$A$"&amp;MATCH($S1052&amp;$J1052,SorP!C:C,0))))</f>
        <v/>
      </c>
      <c r="U1052" s="194"/>
      <c r="V1052" s="218" t="e">
        <f>IF(C1052="",NA(),IF(OR(C1052="Smelter not listed",C1052="Smelter not yet identified"),MATCH($B1052&amp;$D1052,'Smelter Look-up'!$J:$J,0),MATCH($B1052&amp;$C1052,'Smelter Look-up'!$J:$J,0)))</f>
        <v>#N/A</v>
      </c>
      <c r="X1052" s="219">
        <f t="shared" ref="X1052:X1082" ca="1" si="151">IF(AND(C1052="Smelter not listed",OR(LEN(D1052)=0,LEN(E1052)=0)),1,0)</f>
        <v>0</v>
      </c>
      <c r="AB1052" s="220" t="str">
        <f t="shared" ref="AB1052:AB1082" si="152">B1052&amp;C1052</f>
        <v/>
      </c>
    </row>
    <row r="1053" spans="1:28" s="219" customFormat="1" ht="20.25">
      <c r="A1053" s="174"/>
      <c r="B1053" s="175" t="str">
        <f>IF(LEN(A1053)=0,"",INDEX('Smelter Look-up'!$A:$A,MATCH($A1053,'Smelter Look-up'!$E:$E,0)))</f>
        <v/>
      </c>
      <c r="C1053" s="179" t="str">
        <f>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50"/>
        <v/>
      </c>
      <c r="T1053" s="174" t="str">
        <f ca="1">IF(B1053="","",IF(ISERROR(MATCH($J1053,SorP!$B$1:$B$6279,0)),"",INDIRECT("'SorP'!$A$"&amp;MATCH($S1053&amp;$J1053,SorP!C:C,0))))</f>
        <v/>
      </c>
      <c r="U1053" s="194"/>
      <c r="V1053" s="218" t="e">
        <f>IF(C1053="",NA(),IF(OR(C1053="Smelter not listed",C1053="Smelter not yet identified"),MATCH($B1053&amp;$D1053,'Smelter Look-up'!$J:$J,0),MATCH($B1053&amp;$C1053,'Smelter Look-up'!$J:$J,0)))</f>
        <v>#N/A</v>
      </c>
      <c r="X1053" s="219">
        <f t="shared" ca="1" si="151"/>
        <v>0</v>
      </c>
      <c r="AB1053" s="220" t="str">
        <f t="shared" si="152"/>
        <v/>
      </c>
    </row>
    <row r="1054" spans="1:28" s="219" customFormat="1" ht="20.25">
      <c r="A1054" s="174"/>
      <c r="B1054" s="175" t="str">
        <f>IF(LEN(A1054)=0,"",INDEX('Smelter Look-up'!$A:$A,MATCH($A1054,'Smelter Look-up'!$E:$E,0)))</f>
        <v/>
      </c>
      <c r="C1054" s="179" t="str">
        <f>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50"/>
        <v/>
      </c>
      <c r="T1054" s="174" t="str">
        <f ca="1">IF(B1054="","",IF(ISERROR(MATCH($J1054,SorP!$B$1:$B$6279,0)),"",INDIRECT("'SorP'!$A$"&amp;MATCH($S1054&amp;$J1054,SorP!C:C,0))))</f>
        <v/>
      </c>
      <c r="U1054" s="194"/>
      <c r="V1054" s="218" t="e">
        <f>IF(C1054="",NA(),IF(OR(C1054="Smelter not listed",C1054="Smelter not yet identified"),MATCH($B1054&amp;$D1054,'Smelter Look-up'!$J:$J,0),MATCH($B1054&amp;$C1054,'Smelter Look-up'!$J:$J,0)))</f>
        <v>#N/A</v>
      </c>
      <c r="X1054" s="219">
        <f t="shared" ca="1" si="151"/>
        <v>0</v>
      </c>
      <c r="AB1054" s="220" t="str">
        <f t="shared" si="152"/>
        <v/>
      </c>
    </row>
    <row r="1055" spans="1:28" s="219" customFormat="1" ht="20.25">
      <c r="A1055" s="174"/>
      <c r="B1055" s="175" t="str">
        <f>IF(LEN(A1055)=0,"",INDEX('Smelter Look-up'!$A:$A,MATCH($A1055,'Smelter Look-up'!$E:$E,0)))</f>
        <v/>
      </c>
      <c r="C1055" s="179" t="str">
        <f>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50"/>
        <v/>
      </c>
      <c r="T1055" s="174" t="str">
        <f ca="1">IF(B1055="","",IF(ISERROR(MATCH($J1055,SorP!$B$1:$B$6279,0)),"",INDIRECT("'SorP'!$A$"&amp;MATCH($S1055&amp;$J1055,SorP!C:C,0))))</f>
        <v/>
      </c>
      <c r="U1055" s="194"/>
      <c r="V1055" s="218" t="e">
        <f>IF(C1055="",NA(),IF(OR(C1055="Smelter not listed",C1055="Smelter not yet identified"),MATCH($B1055&amp;$D1055,'Smelter Look-up'!$J:$J,0),MATCH($B1055&amp;$C1055,'Smelter Look-up'!$J:$J,0)))</f>
        <v>#N/A</v>
      </c>
      <c r="X1055" s="219">
        <f t="shared" ca="1" si="151"/>
        <v>0</v>
      </c>
      <c r="AB1055" s="220" t="str">
        <f t="shared" si="152"/>
        <v/>
      </c>
    </row>
    <row r="1056" spans="1:28" s="219" customFormat="1" ht="20.25">
      <c r="A1056" s="174"/>
      <c r="B1056" s="175" t="str">
        <f>IF(LEN(A1056)=0,"",INDEX('Smelter Look-up'!$A:$A,MATCH($A1056,'Smelter Look-up'!$E:$E,0)))</f>
        <v/>
      </c>
      <c r="C1056" s="179" t="str">
        <f>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50"/>
        <v/>
      </c>
      <c r="T1056" s="174" t="str">
        <f ca="1">IF(B1056="","",IF(ISERROR(MATCH($J1056,SorP!$B$1:$B$6279,0)),"",INDIRECT("'SorP'!$A$"&amp;MATCH($S1056&amp;$J1056,SorP!C:C,0))))</f>
        <v/>
      </c>
      <c r="U1056" s="194"/>
      <c r="V1056" s="218" t="e">
        <f>IF(C1056="",NA(),IF(OR(C1056="Smelter not listed",C1056="Smelter not yet identified"),MATCH($B1056&amp;$D1056,'Smelter Look-up'!$J:$J,0),MATCH($B1056&amp;$C1056,'Smelter Look-up'!$J:$J,0)))</f>
        <v>#N/A</v>
      </c>
      <c r="X1056" s="219">
        <f t="shared" ca="1" si="151"/>
        <v>0</v>
      </c>
      <c r="AB1056" s="220" t="str">
        <f t="shared" si="152"/>
        <v/>
      </c>
    </row>
    <row r="1057" spans="1:28" s="219" customFormat="1" ht="20.25">
      <c r="A1057" s="174"/>
      <c r="B1057" s="175" t="str">
        <f>IF(LEN(A1057)=0,"",INDEX('Smelter Look-up'!$A:$A,MATCH($A1057,'Smelter Look-up'!$E:$E,0)))</f>
        <v/>
      </c>
      <c r="C1057" s="179" t="str">
        <f>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50"/>
        <v/>
      </c>
      <c r="T1057" s="174" t="str">
        <f ca="1">IF(B1057="","",IF(ISERROR(MATCH($J1057,SorP!$B$1:$B$6279,0)),"",INDIRECT("'SorP'!$A$"&amp;MATCH($S1057&amp;$J1057,SorP!C:C,0))))</f>
        <v/>
      </c>
      <c r="U1057" s="194"/>
      <c r="V1057" s="218" t="e">
        <f>IF(C1057="",NA(),IF(OR(C1057="Smelter not listed",C1057="Smelter not yet identified"),MATCH($B1057&amp;$D1057,'Smelter Look-up'!$J:$J,0),MATCH($B1057&amp;$C1057,'Smelter Look-up'!$J:$J,0)))</f>
        <v>#N/A</v>
      </c>
      <c r="X1057" s="219">
        <f t="shared" ca="1" si="151"/>
        <v>0</v>
      </c>
      <c r="AB1057" s="220" t="str">
        <f t="shared" si="152"/>
        <v/>
      </c>
    </row>
    <row r="1058" spans="1:28" s="219" customFormat="1" ht="20.25">
      <c r="A1058" s="174"/>
      <c r="B1058" s="175" t="str">
        <f>IF(LEN(A1058)=0,"",INDEX('Smelter Look-up'!$A:$A,MATCH($A1058,'Smelter Look-up'!$E:$E,0)))</f>
        <v/>
      </c>
      <c r="C1058" s="179" t="str">
        <f>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50"/>
        <v/>
      </c>
      <c r="T1058" s="174" t="str">
        <f ca="1">IF(B1058="","",IF(ISERROR(MATCH($J1058,SorP!$B$1:$B$6279,0)),"",INDIRECT("'SorP'!$A$"&amp;MATCH($S1058&amp;$J1058,SorP!C:C,0))))</f>
        <v/>
      </c>
      <c r="U1058" s="194"/>
      <c r="V1058" s="218" t="e">
        <f>IF(C1058="",NA(),IF(OR(C1058="Smelter not listed",C1058="Smelter not yet identified"),MATCH($B1058&amp;$D1058,'Smelter Look-up'!$J:$J,0),MATCH($B1058&amp;$C1058,'Smelter Look-up'!$J:$J,0)))</f>
        <v>#N/A</v>
      </c>
      <c r="X1058" s="219">
        <f t="shared" ca="1" si="151"/>
        <v>0</v>
      </c>
      <c r="AB1058" s="220" t="str">
        <f t="shared" si="152"/>
        <v/>
      </c>
    </row>
    <row r="1059" spans="1:28" s="219" customFormat="1" ht="20.25">
      <c r="A1059" s="174"/>
      <c r="B1059" s="175" t="str">
        <f>IF(LEN(A1059)=0,"",INDEX('Smelter Look-up'!$A:$A,MATCH($A1059,'Smelter Look-up'!$E:$E,0)))</f>
        <v/>
      </c>
      <c r="C1059" s="179" t="str">
        <f>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50"/>
        <v/>
      </c>
      <c r="T1059" s="174" t="str">
        <f ca="1">IF(B1059="","",IF(ISERROR(MATCH($J1059,SorP!$B$1:$B$6279,0)),"",INDIRECT("'SorP'!$A$"&amp;MATCH($S1059&amp;$J1059,SorP!C:C,0))))</f>
        <v/>
      </c>
      <c r="U1059" s="194"/>
      <c r="V1059" s="218" t="e">
        <f>IF(C1059="",NA(),IF(OR(C1059="Smelter not listed",C1059="Smelter not yet identified"),MATCH($B1059&amp;$D1059,'Smelter Look-up'!$J:$J,0),MATCH($B1059&amp;$C1059,'Smelter Look-up'!$J:$J,0)))</f>
        <v>#N/A</v>
      </c>
      <c r="X1059" s="219">
        <f t="shared" ca="1" si="151"/>
        <v>0</v>
      </c>
      <c r="AB1059" s="220" t="str">
        <f t="shared" si="152"/>
        <v/>
      </c>
    </row>
    <row r="1060" spans="1:28" s="219" customFormat="1" ht="20.25">
      <c r="A1060" s="174"/>
      <c r="B1060" s="175" t="str">
        <f>IF(LEN(A1060)=0,"",INDEX('Smelter Look-up'!$A:$A,MATCH($A1060,'Smelter Look-up'!$E:$E,0)))</f>
        <v/>
      </c>
      <c r="C1060" s="179" t="str">
        <f>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50"/>
        <v/>
      </c>
      <c r="T1060" s="174" t="str">
        <f ca="1">IF(B1060="","",IF(ISERROR(MATCH($J1060,SorP!$B$1:$B$6279,0)),"",INDIRECT("'SorP'!$A$"&amp;MATCH($S1060&amp;$J1060,SorP!C:C,0))))</f>
        <v/>
      </c>
      <c r="U1060" s="194"/>
      <c r="V1060" s="218" t="e">
        <f>IF(C1060="",NA(),IF(OR(C1060="Smelter not listed",C1060="Smelter not yet identified"),MATCH($B1060&amp;$D1060,'Smelter Look-up'!$J:$J,0),MATCH($B1060&amp;$C1060,'Smelter Look-up'!$J:$J,0)))</f>
        <v>#N/A</v>
      </c>
      <c r="X1060" s="219">
        <f t="shared" ca="1" si="151"/>
        <v>0</v>
      </c>
      <c r="AB1060" s="220" t="str">
        <f t="shared" si="152"/>
        <v/>
      </c>
    </row>
    <row r="1061" spans="1:28" s="219" customFormat="1" ht="20.25">
      <c r="A1061" s="174"/>
      <c r="B1061" s="175" t="str">
        <f>IF(LEN(A1061)=0,"",INDEX('Smelter Look-up'!$A:$A,MATCH($A1061,'Smelter Look-up'!$E:$E,0)))</f>
        <v/>
      </c>
      <c r="C1061" s="179" t="str">
        <f>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50"/>
        <v/>
      </c>
      <c r="T1061" s="174" t="str">
        <f ca="1">IF(B1061="","",IF(ISERROR(MATCH($J1061,SorP!$B$1:$B$6279,0)),"",INDIRECT("'SorP'!$A$"&amp;MATCH($S1061&amp;$J1061,SorP!C:C,0))))</f>
        <v/>
      </c>
      <c r="U1061" s="194"/>
      <c r="V1061" s="218" t="e">
        <f>IF(C1061="",NA(),IF(OR(C1061="Smelter not listed",C1061="Smelter not yet identified"),MATCH($B1061&amp;$D1061,'Smelter Look-up'!$J:$J,0),MATCH($B1061&amp;$C1061,'Smelter Look-up'!$J:$J,0)))</f>
        <v>#N/A</v>
      </c>
      <c r="X1061" s="219">
        <f t="shared" ca="1" si="151"/>
        <v>0</v>
      </c>
      <c r="AB1061" s="220" t="str">
        <f t="shared" si="152"/>
        <v/>
      </c>
    </row>
    <row r="1062" spans="1:28" s="219" customFormat="1" ht="20.25">
      <c r="A1062" s="174"/>
      <c r="B1062" s="175" t="str">
        <f>IF(LEN(A1062)=0,"",INDEX('Smelter Look-up'!$A:$A,MATCH($A1062,'Smelter Look-up'!$E:$E,0)))</f>
        <v/>
      </c>
      <c r="C1062" s="179" t="str">
        <f>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50"/>
        <v/>
      </c>
      <c r="T1062" s="174" t="str">
        <f ca="1">IF(B1062="","",IF(ISERROR(MATCH($J1062,SorP!$B$1:$B$6279,0)),"",INDIRECT("'SorP'!$A$"&amp;MATCH($S1062&amp;$J1062,SorP!C:C,0))))</f>
        <v/>
      </c>
      <c r="U1062" s="194"/>
      <c r="V1062" s="218" t="e">
        <f>IF(C1062="",NA(),IF(OR(C1062="Smelter not listed",C1062="Smelter not yet identified"),MATCH($B1062&amp;$D1062,'Smelter Look-up'!$J:$J,0),MATCH($B1062&amp;$C1062,'Smelter Look-up'!$J:$J,0)))</f>
        <v>#N/A</v>
      </c>
      <c r="X1062" s="219">
        <f t="shared" ca="1" si="151"/>
        <v>0</v>
      </c>
      <c r="AB1062" s="220" t="str">
        <f t="shared" si="152"/>
        <v/>
      </c>
    </row>
    <row r="1063" spans="1:28" s="219" customFormat="1" ht="20.25">
      <c r="A1063" s="174"/>
      <c r="B1063" s="175" t="str">
        <f>IF(LEN(A1063)=0,"",INDEX('Smelter Look-up'!$A:$A,MATCH($A1063,'Smelter Look-up'!$E:$E,0)))</f>
        <v/>
      </c>
      <c r="C1063" s="179" t="str">
        <f>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50"/>
        <v/>
      </c>
      <c r="T1063" s="174" t="str">
        <f ca="1">IF(B1063="","",IF(ISERROR(MATCH($J1063,SorP!$B$1:$B$6279,0)),"",INDIRECT("'SorP'!$A$"&amp;MATCH($S1063&amp;$J1063,SorP!C:C,0))))</f>
        <v/>
      </c>
      <c r="U1063" s="194"/>
      <c r="V1063" s="218" t="e">
        <f>IF(C1063="",NA(),IF(OR(C1063="Smelter not listed",C1063="Smelter not yet identified"),MATCH($B1063&amp;$D1063,'Smelter Look-up'!$J:$J,0),MATCH($B1063&amp;$C1063,'Smelter Look-up'!$J:$J,0)))</f>
        <v>#N/A</v>
      </c>
      <c r="X1063" s="219">
        <f t="shared" ca="1" si="151"/>
        <v>0</v>
      </c>
      <c r="AB1063" s="220" t="str">
        <f t="shared" si="152"/>
        <v/>
      </c>
    </row>
    <row r="1064" spans="1:28" s="219" customFormat="1" ht="20.25">
      <c r="A1064" s="174"/>
      <c r="B1064" s="175" t="str">
        <f>IF(LEN(A1064)=0,"",INDEX('Smelter Look-up'!$A:$A,MATCH($A1064,'Smelter Look-up'!$E:$E,0)))</f>
        <v/>
      </c>
      <c r="C1064" s="179" t="str">
        <f>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50"/>
        <v/>
      </c>
      <c r="T1064" s="174" t="str">
        <f ca="1">IF(B1064="","",IF(ISERROR(MATCH($J1064,SorP!$B$1:$B$6279,0)),"",INDIRECT("'SorP'!$A$"&amp;MATCH($S1064&amp;$J1064,SorP!C:C,0))))</f>
        <v/>
      </c>
      <c r="U1064" s="194"/>
      <c r="V1064" s="218" t="e">
        <f>IF(C1064="",NA(),IF(OR(C1064="Smelter not listed",C1064="Smelter not yet identified"),MATCH($B1064&amp;$D1064,'Smelter Look-up'!$J:$J,0),MATCH($B1064&amp;$C1064,'Smelter Look-up'!$J:$J,0)))</f>
        <v>#N/A</v>
      </c>
      <c r="X1064" s="219">
        <f t="shared" ca="1" si="151"/>
        <v>0</v>
      </c>
      <c r="AB1064" s="220" t="str">
        <f t="shared" si="152"/>
        <v/>
      </c>
    </row>
    <row r="1065" spans="1:28" s="219" customFormat="1" ht="20.25">
      <c r="A1065" s="174"/>
      <c r="B1065" s="175" t="str">
        <f>IF(LEN(A1065)=0,"",INDEX('Smelter Look-up'!$A:$A,MATCH($A1065,'Smelter Look-up'!$E:$E,0)))</f>
        <v/>
      </c>
      <c r="C1065" s="179" t="str">
        <f>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50"/>
        <v/>
      </c>
      <c r="T1065" s="174" t="str">
        <f ca="1">IF(B1065="","",IF(ISERROR(MATCH($J1065,SorP!$B$1:$B$6279,0)),"",INDIRECT("'SorP'!$A$"&amp;MATCH($S1065&amp;$J1065,SorP!C:C,0))))</f>
        <v/>
      </c>
      <c r="U1065" s="194"/>
      <c r="V1065" s="218" t="e">
        <f>IF(C1065="",NA(),IF(OR(C1065="Smelter not listed",C1065="Smelter not yet identified"),MATCH($B1065&amp;$D1065,'Smelter Look-up'!$J:$J,0),MATCH($B1065&amp;$C1065,'Smelter Look-up'!$J:$J,0)))</f>
        <v>#N/A</v>
      </c>
      <c r="X1065" s="219">
        <f t="shared" ca="1" si="151"/>
        <v>0</v>
      </c>
      <c r="AB1065" s="220" t="str">
        <f t="shared" si="152"/>
        <v/>
      </c>
    </row>
    <row r="1066" spans="1:28" s="219" customFormat="1" ht="20.25">
      <c r="A1066" s="174"/>
      <c r="B1066" s="175" t="str">
        <f>IF(LEN(A1066)=0,"",INDEX('Smelter Look-up'!$A:$A,MATCH($A1066,'Smelter Look-up'!$E:$E,0)))</f>
        <v/>
      </c>
      <c r="C1066" s="179" t="str">
        <f>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50"/>
        <v/>
      </c>
      <c r="T1066" s="174" t="str">
        <f ca="1">IF(B1066="","",IF(ISERROR(MATCH($J1066,SorP!$B$1:$B$6279,0)),"",INDIRECT("'SorP'!$A$"&amp;MATCH($S1066&amp;$J1066,SorP!C:C,0))))</f>
        <v/>
      </c>
      <c r="U1066" s="194"/>
      <c r="V1066" s="218" t="e">
        <f>IF(C1066="",NA(),IF(OR(C1066="Smelter not listed",C1066="Smelter not yet identified"),MATCH($B1066&amp;$D1066,'Smelter Look-up'!$J:$J,0),MATCH($B1066&amp;$C1066,'Smelter Look-up'!$J:$J,0)))</f>
        <v>#N/A</v>
      </c>
      <c r="X1066" s="219">
        <f t="shared" ca="1" si="151"/>
        <v>0</v>
      </c>
      <c r="AB1066" s="220" t="str">
        <f t="shared" si="152"/>
        <v/>
      </c>
    </row>
    <row r="1067" spans="1:28" s="219" customFormat="1" ht="20.25">
      <c r="A1067" s="174"/>
      <c r="B1067" s="175" t="str">
        <f>IF(LEN(A1067)=0,"",INDEX('Smelter Look-up'!$A:$A,MATCH($A1067,'Smelter Look-up'!$E:$E,0)))</f>
        <v/>
      </c>
      <c r="C1067" s="179" t="str">
        <f>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50"/>
        <v/>
      </c>
      <c r="T1067" s="174" t="str">
        <f ca="1">IF(B1067="","",IF(ISERROR(MATCH($J1067,SorP!$B$1:$B$6279,0)),"",INDIRECT("'SorP'!$A$"&amp;MATCH($S1067&amp;$J1067,SorP!C:C,0))))</f>
        <v/>
      </c>
      <c r="U1067" s="194"/>
      <c r="V1067" s="218" t="e">
        <f>IF(C1067="",NA(),IF(OR(C1067="Smelter not listed",C1067="Smelter not yet identified"),MATCH($B1067&amp;$D1067,'Smelter Look-up'!$J:$J,0),MATCH($B1067&amp;$C1067,'Smelter Look-up'!$J:$J,0)))</f>
        <v>#N/A</v>
      </c>
      <c r="X1067" s="219">
        <f t="shared" ca="1" si="151"/>
        <v>0</v>
      </c>
      <c r="AB1067" s="220" t="str">
        <f t="shared" si="152"/>
        <v/>
      </c>
    </row>
    <row r="1068" spans="1:28" s="219" customFormat="1" ht="20.25">
      <c r="A1068" s="174"/>
      <c r="B1068" s="175" t="str">
        <f>IF(LEN(A1068)=0,"",INDEX('Smelter Look-up'!$A:$A,MATCH($A1068,'Smelter Look-up'!$E:$E,0)))</f>
        <v/>
      </c>
      <c r="C1068" s="179" t="str">
        <f>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50"/>
        <v/>
      </c>
      <c r="T1068" s="174" t="str">
        <f ca="1">IF(B1068="","",IF(ISERROR(MATCH($J1068,SorP!$B$1:$B$6279,0)),"",INDIRECT("'SorP'!$A$"&amp;MATCH($S1068&amp;$J1068,SorP!C:C,0))))</f>
        <v/>
      </c>
      <c r="U1068" s="194"/>
      <c r="V1068" s="218" t="e">
        <f>IF(C1068="",NA(),IF(OR(C1068="Smelter not listed",C1068="Smelter not yet identified"),MATCH($B1068&amp;$D1068,'Smelter Look-up'!$J:$J,0),MATCH($B1068&amp;$C1068,'Smelter Look-up'!$J:$J,0)))</f>
        <v>#N/A</v>
      </c>
      <c r="X1068" s="219">
        <f t="shared" ca="1" si="151"/>
        <v>0</v>
      </c>
      <c r="AB1068" s="220" t="str">
        <f t="shared" si="152"/>
        <v/>
      </c>
    </row>
    <row r="1069" spans="1:28" s="219" customFormat="1" ht="20.25">
      <c r="A1069" s="174"/>
      <c r="B1069" s="175" t="str">
        <f>IF(LEN(A1069)=0,"",INDEX('Smelter Look-up'!$A:$A,MATCH($A1069,'Smelter Look-up'!$E:$E,0)))</f>
        <v/>
      </c>
      <c r="C1069" s="179" t="str">
        <f>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50"/>
        <v/>
      </c>
      <c r="T1069" s="174" t="str">
        <f ca="1">IF(B1069="","",IF(ISERROR(MATCH($J1069,SorP!$B$1:$B$6279,0)),"",INDIRECT("'SorP'!$A$"&amp;MATCH($S1069&amp;$J1069,SorP!C:C,0))))</f>
        <v/>
      </c>
      <c r="U1069" s="194"/>
      <c r="V1069" s="218" t="e">
        <f>IF(C1069="",NA(),IF(OR(C1069="Smelter not listed",C1069="Smelter not yet identified"),MATCH($B1069&amp;$D1069,'Smelter Look-up'!$J:$J,0),MATCH($B1069&amp;$C1069,'Smelter Look-up'!$J:$J,0)))</f>
        <v>#N/A</v>
      </c>
      <c r="X1069" s="219">
        <f t="shared" ca="1" si="151"/>
        <v>0</v>
      </c>
      <c r="AB1069" s="220" t="str">
        <f t="shared" si="152"/>
        <v/>
      </c>
    </row>
    <row r="1070" spans="1:28" s="219" customFormat="1" ht="20.25">
      <c r="A1070" s="174"/>
      <c r="B1070" s="175" t="str">
        <f>IF(LEN(A1070)=0,"",INDEX('Smelter Look-up'!$A:$A,MATCH($A1070,'Smelter Look-up'!$E:$E,0)))</f>
        <v/>
      </c>
      <c r="C1070" s="179" t="str">
        <f>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50"/>
        <v/>
      </c>
      <c r="T1070" s="174" t="str">
        <f ca="1">IF(B1070="","",IF(ISERROR(MATCH($J1070,SorP!$B$1:$B$6279,0)),"",INDIRECT("'SorP'!$A$"&amp;MATCH($S1070&amp;$J1070,SorP!C:C,0))))</f>
        <v/>
      </c>
      <c r="U1070" s="194"/>
      <c r="V1070" s="218" t="e">
        <f>IF(C1070="",NA(),IF(OR(C1070="Smelter not listed",C1070="Smelter not yet identified"),MATCH($B1070&amp;$D1070,'Smelter Look-up'!$J:$J,0),MATCH($B1070&amp;$C1070,'Smelter Look-up'!$J:$J,0)))</f>
        <v>#N/A</v>
      </c>
      <c r="X1070" s="219">
        <f t="shared" ca="1" si="151"/>
        <v>0</v>
      </c>
      <c r="AB1070" s="220" t="str">
        <f t="shared" si="152"/>
        <v/>
      </c>
    </row>
    <row r="1071" spans="1:28" s="219" customFormat="1" ht="20.25">
      <c r="A1071" s="174"/>
      <c r="B1071" s="175" t="str">
        <f>IF(LEN(A1071)=0,"",INDEX('Smelter Look-up'!$A:$A,MATCH($A1071,'Smelter Look-up'!$E:$E,0)))</f>
        <v/>
      </c>
      <c r="C1071" s="179" t="str">
        <f>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50"/>
        <v/>
      </c>
      <c r="T1071" s="174" t="str">
        <f ca="1">IF(B1071="","",IF(ISERROR(MATCH($J1071,SorP!$B$1:$B$6279,0)),"",INDIRECT("'SorP'!$A$"&amp;MATCH($S1071&amp;$J1071,SorP!C:C,0))))</f>
        <v/>
      </c>
      <c r="U1071" s="194"/>
      <c r="V1071" s="218" t="e">
        <f>IF(C1071="",NA(),IF(OR(C1071="Smelter not listed",C1071="Smelter not yet identified"),MATCH($B1071&amp;$D1071,'Smelter Look-up'!$J:$J,0),MATCH($B1071&amp;$C1071,'Smelter Look-up'!$J:$J,0)))</f>
        <v>#N/A</v>
      </c>
      <c r="X1071" s="219">
        <f t="shared" ca="1" si="151"/>
        <v>0</v>
      </c>
      <c r="AB1071" s="220" t="str">
        <f t="shared" si="152"/>
        <v/>
      </c>
    </row>
    <row r="1072" spans="1:28" s="219" customFormat="1" ht="20.25">
      <c r="A1072" s="174"/>
      <c r="B1072" s="175" t="str">
        <f>IF(LEN(A1072)=0,"",INDEX('Smelter Look-up'!$A:$A,MATCH($A1072,'Smelter Look-up'!$E:$E,0)))</f>
        <v/>
      </c>
      <c r="C1072" s="179" t="str">
        <f>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50"/>
        <v/>
      </c>
      <c r="T1072" s="174" t="str">
        <f ca="1">IF(B1072="","",IF(ISERROR(MATCH($J1072,SorP!$B$1:$B$6279,0)),"",INDIRECT("'SorP'!$A$"&amp;MATCH($S1072&amp;$J1072,SorP!C:C,0))))</f>
        <v/>
      </c>
      <c r="U1072" s="194"/>
      <c r="V1072" s="218" t="e">
        <f>IF(C1072="",NA(),IF(OR(C1072="Smelter not listed",C1072="Smelter not yet identified"),MATCH($B1072&amp;$D1072,'Smelter Look-up'!$J:$J,0),MATCH($B1072&amp;$C1072,'Smelter Look-up'!$J:$J,0)))</f>
        <v>#N/A</v>
      </c>
      <c r="X1072" s="219">
        <f t="shared" ca="1" si="151"/>
        <v>0</v>
      </c>
      <c r="AB1072" s="220" t="str">
        <f t="shared" si="152"/>
        <v/>
      </c>
    </row>
    <row r="1073" spans="1:28" s="219" customFormat="1" ht="20.25">
      <c r="A1073" s="174"/>
      <c r="B1073" s="175" t="str">
        <f>IF(LEN(A1073)=0,"",INDEX('Smelter Look-up'!$A:$A,MATCH($A1073,'Smelter Look-up'!$E:$E,0)))</f>
        <v/>
      </c>
      <c r="C1073" s="179" t="str">
        <f>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50"/>
        <v/>
      </c>
      <c r="T1073" s="174" t="str">
        <f ca="1">IF(B1073="","",IF(ISERROR(MATCH($J1073,SorP!$B$1:$B$6279,0)),"",INDIRECT("'SorP'!$A$"&amp;MATCH($S1073&amp;$J1073,SorP!C:C,0))))</f>
        <v/>
      </c>
      <c r="U1073" s="194"/>
      <c r="V1073" s="218" t="e">
        <f>IF(C1073="",NA(),IF(OR(C1073="Smelter not listed",C1073="Smelter not yet identified"),MATCH($B1073&amp;$D1073,'Smelter Look-up'!$J:$J,0),MATCH($B1073&amp;$C1073,'Smelter Look-up'!$J:$J,0)))</f>
        <v>#N/A</v>
      </c>
      <c r="X1073" s="219">
        <f t="shared" ca="1" si="151"/>
        <v>0</v>
      </c>
      <c r="AB1073" s="220" t="str">
        <f t="shared" si="152"/>
        <v/>
      </c>
    </row>
    <row r="1074" spans="1:28" s="219" customFormat="1" ht="20.25">
      <c r="A1074" s="174"/>
      <c r="B1074" s="175" t="str">
        <f>IF(LEN(A1074)=0,"",INDEX('Smelter Look-up'!$A:$A,MATCH($A1074,'Smelter Look-up'!$E:$E,0)))</f>
        <v/>
      </c>
      <c r="C1074" s="179" t="str">
        <f>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50"/>
        <v/>
      </c>
      <c r="T1074" s="174" t="str">
        <f ca="1">IF(B1074="","",IF(ISERROR(MATCH($J1074,SorP!$B$1:$B$6279,0)),"",INDIRECT("'SorP'!$A$"&amp;MATCH($S1074&amp;$J1074,SorP!C:C,0))))</f>
        <v/>
      </c>
      <c r="U1074" s="194"/>
      <c r="V1074" s="218" t="e">
        <f>IF(C1074="",NA(),IF(OR(C1074="Smelter not listed",C1074="Smelter not yet identified"),MATCH($B1074&amp;$D1074,'Smelter Look-up'!$J:$J,0),MATCH($B1074&amp;$C1074,'Smelter Look-up'!$J:$J,0)))</f>
        <v>#N/A</v>
      </c>
      <c r="X1074" s="219">
        <f t="shared" ca="1" si="151"/>
        <v>0</v>
      </c>
      <c r="AB1074" s="220" t="str">
        <f t="shared" si="152"/>
        <v/>
      </c>
    </row>
    <row r="1075" spans="1:28" s="219" customFormat="1" ht="20.25">
      <c r="A1075" s="174"/>
      <c r="B1075" s="175" t="str">
        <f>IF(LEN(A1075)=0,"",INDEX('Smelter Look-up'!$A:$A,MATCH($A1075,'Smelter Look-up'!$E:$E,0)))</f>
        <v/>
      </c>
      <c r="C1075" s="179" t="str">
        <f>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150"/>
        <v/>
      </c>
      <c r="T1075" s="174" t="str">
        <f ca="1">IF(B1075="","",IF(ISERROR(MATCH($J1075,SorP!$B$1:$B$6279,0)),"",INDIRECT("'SorP'!$A$"&amp;MATCH($S1075&amp;$J1075,SorP!C:C,0))))</f>
        <v/>
      </c>
      <c r="U1075" s="194"/>
      <c r="V1075" s="218" t="e">
        <f>IF(C1075="",NA(),IF(OR(C1075="Smelter not listed",C1075="Smelter not yet identified"),MATCH($B1075&amp;$D1075,'Smelter Look-up'!$J:$J,0),MATCH($B1075&amp;$C1075,'Smelter Look-up'!$J:$J,0)))</f>
        <v>#N/A</v>
      </c>
      <c r="X1075" s="219">
        <f t="shared" ca="1" si="151"/>
        <v>0</v>
      </c>
      <c r="AB1075" s="220" t="str">
        <f t="shared" si="152"/>
        <v/>
      </c>
    </row>
    <row r="1076" spans="1:28" s="219" customFormat="1" ht="20.25">
      <c r="A1076" s="174"/>
      <c r="B1076" s="175" t="str">
        <f>IF(LEN(A1076)=0,"",INDEX('Smelter Look-up'!$A:$A,MATCH($A1076,'Smelter Look-up'!$E:$E,0)))</f>
        <v/>
      </c>
      <c r="C1076" s="179" t="str">
        <f>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50"/>
        <v/>
      </c>
      <c r="T1076" s="174" t="str">
        <f ca="1">IF(B1076="","",IF(ISERROR(MATCH($J1076,SorP!$B$1:$B$6279,0)),"",INDIRECT("'SorP'!$A$"&amp;MATCH($S1076&amp;$J1076,SorP!C:C,0))))</f>
        <v/>
      </c>
      <c r="U1076" s="194"/>
      <c r="V1076" s="218" t="e">
        <f>IF(C1076="",NA(),IF(OR(C1076="Smelter not listed",C1076="Smelter not yet identified"),MATCH($B1076&amp;$D1076,'Smelter Look-up'!$J:$J,0),MATCH($B1076&amp;$C1076,'Smelter Look-up'!$J:$J,0)))</f>
        <v>#N/A</v>
      </c>
      <c r="X1076" s="219">
        <f t="shared" ca="1" si="151"/>
        <v>0</v>
      </c>
      <c r="AB1076" s="220" t="str">
        <f t="shared" si="152"/>
        <v/>
      </c>
    </row>
    <row r="1077" spans="1:28" s="219" customFormat="1" ht="20.25">
      <c r="A1077" s="174"/>
      <c r="B1077" s="175" t="str">
        <f>IF(LEN(A1077)=0,"",INDEX('Smelter Look-up'!$A:$A,MATCH($A1077,'Smelter Look-up'!$E:$E,0)))</f>
        <v/>
      </c>
      <c r="C1077" s="179" t="str">
        <f>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50"/>
        <v/>
      </c>
      <c r="T1077" s="174" t="str">
        <f ca="1">IF(B1077="","",IF(ISERROR(MATCH($J1077,SorP!$B$1:$B$6279,0)),"",INDIRECT("'SorP'!$A$"&amp;MATCH($S1077&amp;$J1077,SorP!C:C,0))))</f>
        <v/>
      </c>
      <c r="U1077" s="194"/>
      <c r="V1077" s="218" t="e">
        <f>IF(C1077="",NA(),IF(OR(C1077="Smelter not listed",C1077="Smelter not yet identified"),MATCH($B1077&amp;$D1077,'Smelter Look-up'!$J:$J,0),MATCH($B1077&amp;$C1077,'Smelter Look-up'!$J:$J,0)))</f>
        <v>#N/A</v>
      </c>
      <c r="X1077" s="219">
        <f t="shared" ca="1" si="151"/>
        <v>0</v>
      </c>
      <c r="AB1077" s="220" t="str">
        <f t="shared" si="152"/>
        <v/>
      </c>
    </row>
    <row r="1078" spans="1:28" s="219" customFormat="1" ht="20.25">
      <c r="A1078" s="174"/>
      <c r="B1078" s="175" t="str">
        <f>IF(LEN(A1078)=0,"",INDEX('Smelter Look-up'!$A:$A,MATCH($A1078,'Smelter Look-up'!$E:$E,0)))</f>
        <v/>
      </c>
      <c r="C1078" s="179" t="str">
        <f>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50"/>
        <v/>
      </c>
      <c r="T1078" s="174" t="str">
        <f ca="1">IF(B1078="","",IF(ISERROR(MATCH($J1078,SorP!$B$1:$B$6279,0)),"",INDIRECT("'SorP'!$A$"&amp;MATCH($S1078&amp;$J1078,SorP!C:C,0))))</f>
        <v/>
      </c>
      <c r="U1078" s="194"/>
      <c r="V1078" s="218" t="e">
        <f>IF(C1078="",NA(),IF(OR(C1078="Smelter not listed",C1078="Smelter not yet identified"),MATCH($B1078&amp;$D1078,'Smelter Look-up'!$J:$J,0),MATCH($B1078&amp;$C1078,'Smelter Look-up'!$J:$J,0)))</f>
        <v>#N/A</v>
      </c>
      <c r="X1078" s="219">
        <f t="shared" ca="1" si="151"/>
        <v>0</v>
      </c>
      <c r="AB1078" s="220" t="str">
        <f t="shared" si="152"/>
        <v/>
      </c>
    </row>
    <row r="1079" spans="1:28" s="219" customFormat="1" ht="20.25">
      <c r="A1079" s="174"/>
      <c r="B1079" s="175" t="str">
        <f>IF(LEN(A1079)=0,"",INDEX('Smelter Look-up'!$A:$A,MATCH($A1079,'Smelter Look-up'!$E:$E,0)))</f>
        <v/>
      </c>
      <c r="C1079" s="179" t="str">
        <f>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50"/>
        <v/>
      </c>
      <c r="T1079" s="174" t="str">
        <f ca="1">IF(B1079="","",IF(ISERROR(MATCH($J1079,SorP!$B$1:$B$6279,0)),"",INDIRECT("'SorP'!$A$"&amp;MATCH($S1079&amp;$J1079,SorP!C:C,0))))</f>
        <v/>
      </c>
      <c r="U1079" s="194"/>
      <c r="V1079" s="218" t="e">
        <f>IF(C1079="",NA(),IF(OR(C1079="Smelter not listed",C1079="Smelter not yet identified"),MATCH($B1079&amp;$D1079,'Smelter Look-up'!$J:$J,0),MATCH($B1079&amp;$C1079,'Smelter Look-up'!$J:$J,0)))</f>
        <v>#N/A</v>
      </c>
      <c r="X1079" s="219">
        <f t="shared" ca="1" si="151"/>
        <v>0</v>
      </c>
      <c r="AB1079" s="220" t="str">
        <f t="shared" si="152"/>
        <v/>
      </c>
    </row>
    <row r="1080" spans="1:28" s="219" customFormat="1" ht="20.25">
      <c r="A1080" s="174"/>
      <c r="B1080" s="175" t="str">
        <f>IF(LEN(A1080)=0,"",INDEX('Smelter Look-up'!$A:$A,MATCH($A1080,'Smelter Look-up'!$E:$E,0)))</f>
        <v/>
      </c>
      <c r="C1080" s="179" t="str">
        <f>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50"/>
        <v/>
      </c>
      <c r="T1080" s="174" t="str">
        <f ca="1">IF(B1080="","",IF(ISERROR(MATCH($J1080,SorP!$B$1:$B$6279,0)),"",INDIRECT("'SorP'!$A$"&amp;MATCH($S1080&amp;$J1080,SorP!C:C,0))))</f>
        <v/>
      </c>
      <c r="U1080" s="194"/>
      <c r="V1080" s="218" t="e">
        <f>IF(C1080="",NA(),IF(OR(C1080="Smelter not listed",C1080="Smelter not yet identified"),MATCH($B1080&amp;$D1080,'Smelter Look-up'!$J:$J,0),MATCH($B1080&amp;$C1080,'Smelter Look-up'!$J:$J,0)))</f>
        <v>#N/A</v>
      </c>
      <c r="X1080" s="219">
        <f t="shared" ca="1" si="151"/>
        <v>0</v>
      </c>
      <c r="AB1080" s="220" t="str">
        <f t="shared" si="152"/>
        <v/>
      </c>
    </row>
    <row r="1081" spans="1:28" s="219" customFormat="1" ht="20.25">
      <c r="A1081" s="174"/>
      <c r="B1081" s="175" t="str">
        <f>IF(LEN(A1081)=0,"",INDEX('Smelter Look-up'!$A:$A,MATCH($A1081,'Smelter Look-up'!$E:$E,0)))</f>
        <v/>
      </c>
      <c r="C1081" s="179" t="str">
        <f>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150"/>
        <v/>
      </c>
      <c r="T1081" s="174" t="str">
        <f ca="1">IF(B1081="","",IF(ISERROR(MATCH($J1081,SorP!$B$1:$B$6279,0)),"",INDIRECT("'SorP'!$A$"&amp;MATCH($S1081&amp;$J1081,SorP!C:C,0))))</f>
        <v/>
      </c>
      <c r="U1081" s="194"/>
      <c r="V1081" s="218" t="e">
        <f>IF(C1081="",NA(),IF(OR(C1081="Smelter not listed",C1081="Smelter not yet identified"),MATCH($B1081&amp;$D1081,'Smelter Look-up'!$J:$J,0),MATCH($B1081&amp;$C1081,'Smelter Look-up'!$J:$J,0)))</f>
        <v>#N/A</v>
      </c>
      <c r="X1081" s="219">
        <f t="shared" ca="1" si="151"/>
        <v>0</v>
      </c>
      <c r="AB1081" s="220" t="str">
        <f t="shared" si="152"/>
        <v/>
      </c>
    </row>
    <row r="1082" spans="1:28" s="219" customFormat="1" ht="20.25">
      <c r="A1082" s="174"/>
      <c r="B1082" s="175" t="str">
        <f>IF(LEN(A1082)=0,"",INDEX('Smelter Look-up'!$A:$A,MATCH($A1082,'Smelter Look-up'!$E:$E,0)))</f>
        <v/>
      </c>
      <c r="C1082" s="179" t="str">
        <f>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ca="1" si="150"/>
        <v/>
      </c>
      <c r="T1082" s="174" t="str">
        <f ca="1">IF(B1082="","",IF(ISERROR(MATCH($J1082,SorP!$B$1:$B$6279,0)),"",INDIRECT("'SorP'!$A$"&amp;MATCH($S1082&amp;$J1082,SorP!C:C,0))))</f>
        <v/>
      </c>
      <c r="U1082" s="194"/>
      <c r="V1082" s="218" t="e">
        <f>IF(C1082="",NA(),IF(OR(C1082="Smelter not listed",C1082="Smelter not yet identified"),MATCH($B1082&amp;$D1082,'Smelter Look-up'!$J:$J,0),MATCH($B1082&amp;$C1082,'Smelter Look-up'!$J:$J,0)))</f>
        <v>#N/A</v>
      </c>
      <c r="X1082" s="219">
        <f t="shared" ca="1" si="151"/>
        <v>0</v>
      </c>
      <c r="AB1082" s="220" t="str">
        <f t="shared" si="152"/>
        <v/>
      </c>
    </row>
    <row r="1083" spans="1:28" s="219" customFormat="1" ht="20.25">
      <c r="A1083" s="174"/>
      <c r="B1083" s="175" t="str">
        <f>IF(LEN(A1083)=0,"",INDEX('Smelter Look-up'!$A:$A,MATCH($A1083,'Smelter Look-up'!$E:$E,0)))</f>
        <v/>
      </c>
      <c r="C1083" s="179" t="str">
        <f>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ref="S1083" ca="1" si="153">IF(B1083="","",IF(ISERROR(MATCH($E1083,CL,0)),"Unknown",INDIRECT("'C'!$A$"&amp;MATCH($E1083,CL,0)+1)))</f>
        <v/>
      </c>
      <c r="T1083" s="174" t="str">
        <f ca="1">IF(B1083="","",IF(ISERROR(MATCH($J1083,SorP!$B$1:$B$6279,0)),"",INDIRECT("'SorP'!$A$"&amp;MATCH($S1083&amp;$J1083,SorP!C:C,0))))</f>
        <v/>
      </c>
      <c r="U1083" s="194"/>
      <c r="V1083" s="218" t="e">
        <f>IF(C1083="",NA(),IF(OR(C1083="Smelter not listed",C1083="Smelter not yet identified"),MATCH($B1083&amp;$D1083,'Smelter Look-up'!$J:$J,0),MATCH($B1083&amp;$C1083,'Smelter Look-up'!$J:$J,0)))</f>
        <v>#N/A</v>
      </c>
      <c r="X1083" s="219">
        <f t="shared" ref="X1083" ca="1" si="154">IF(AND(C1083="Smelter not listed",OR(LEN(D1083)=0,LEN(E1083)=0)),1,0)</f>
        <v>0</v>
      </c>
      <c r="AB1083" s="220" t="str">
        <f t="shared" ref="AB1083" si="155">B1083&amp;C1083</f>
        <v/>
      </c>
    </row>
    <row r="1084" spans="1:28" s="219" customFormat="1" ht="20.25">
      <c r="A1084" s="174"/>
      <c r="B1084" s="175" t="str">
        <f>IF(LEN(A1084)=0,"",INDEX('Smelter Look-up'!$A:$A,MATCH($A1084,'Smelter Look-up'!$E:$E,0)))</f>
        <v/>
      </c>
      <c r="C1084" s="179" t="str">
        <f>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ref="S1084:S1115" ca="1" si="156">IF(B1084="","",IF(ISERROR(MATCH($E1084,CL,0)),"Unknown",INDIRECT("'C'!$A$"&amp;MATCH($E1084,CL,0)+1)))</f>
        <v/>
      </c>
      <c r="T1084" s="174" t="str">
        <f ca="1">IF(B1084="","",IF(ISERROR(MATCH($J1084,SorP!$B$1:$B$6279,0)),"",INDIRECT("'SorP'!$A$"&amp;MATCH($S1084&amp;$J1084,SorP!C:C,0))))</f>
        <v/>
      </c>
      <c r="U1084" s="194"/>
      <c r="V1084" s="218" t="e">
        <f>IF(C1084="",NA(),IF(OR(C1084="Smelter not listed",C1084="Smelter not yet identified"),MATCH($B1084&amp;$D1084,'Smelter Look-up'!$J:$J,0),MATCH($B1084&amp;$C1084,'Smelter Look-up'!$J:$J,0)))</f>
        <v>#N/A</v>
      </c>
      <c r="X1084" s="219">
        <f t="shared" ref="X1084:X1115" ca="1" si="157">IF(AND(C1084="Smelter not listed",OR(LEN(D1084)=0,LEN(E1084)=0)),1,0)</f>
        <v>0</v>
      </c>
      <c r="AB1084" s="220" t="str">
        <f t="shared" ref="AB1084:AB1115" si="158">B1084&amp;C1084</f>
        <v/>
      </c>
    </row>
    <row r="1085" spans="1:28" s="219" customFormat="1" ht="20.25">
      <c r="A1085" s="174"/>
      <c r="B1085" s="175" t="str">
        <f>IF(LEN(A1085)=0,"",INDEX('Smelter Look-up'!$A:$A,MATCH($A1085,'Smelter Look-up'!$E:$E,0)))</f>
        <v/>
      </c>
      <c r="C1085" s="179" t="str">
        <f>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56"/>
        <v/>
      </c>
      <c r="T1085" s="174" t="str">
        <f ca="1">IF(B1085="","",IF(ISERROR(MATCH($J1085,SorP!$B$1:$B$6279,0)),"",INDIRECT("'SorP'!$A$"&amp;MATCH($S1085&amp;$J1085,SorP!C:C,0))))</f>
        <v/>
      </c>
      <c r="U1085" s="194"/>
      <c r="V1085" s="218" t="e">
        <f>IF(C1085="",NA(),IF(OR(C1085="Smelter not listed",C1085="Smelter not yet identified"),MATCH($B1085&amp;$D1085,'Smelter Look-up'!$J:$J,0),MATCH($B1085&amp;$C1085,'Smelter Look-up'!$J:$J,0)))</f>
        <v>#N/A</v>
      </c>
      <c r="X1085" s="219">
        <f t="shared" ca="1" si="157"/>
        <v>0</v>
      </c>
      <c r="AB1085" s="220" t="str">
        <f t="shared" si="158"/>
        <v/>
      </c>
    </row>
    <row r="1086" spans="1:28" s="219" customFormat="1" ht="20.25">
      <c r="A1086" s="174"/>
      <c r="B1086" s="175" t="str">
        <f>IF(LEN(A1086)=0,"",INDEX('Smelter Look-up'!$A:$A,MATCH($A1086,'Smelter Look-up'!$E:$E,0)))</f>
        <v/>
      </c>
      <c r="C1086" s="179" t="str">
        <f>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56"/>
        <v/>
      </c>
      <c r="T1086" s="174" t="str">
        <f ca="1">IF(B1086="","",IF(ISERROR(MATCH($J1086,SorP!$B$1:$B$6279,0)),"",INDIRECT("'SorP'!$A$"&amp;MATCH($S1086&amp;$J1086,SorP!C:C,0))))</f>
        <v/>
      </c>
      <c r="U1086" s="194"/>
      <c r="V1086" s="218" t="e">
        <f>IF(C1086="",NA(),IF(OR(C1086="Smelter not listed",C1086="Smelter not yet identified"),MATCH($B1086&amp;$D1086,'Smelter Look-up'!$J:$J,0),MATCH($B1086&amp;$C1086,'Smelter Look-up'!$J:$J,0)))</f>
        <v>#N/A</v>
      </c>
      <c r="X1086" s="219">
        <f t="shared" ca="1" si="157"/>
        <v>0</v>
      </c>
      <c r="AB1086" s="220" t="str">
        <f t="shared" si="158"/>
        <v/>
      </c>
    </row>
    <row r="1087" spans="1:28" s="219" customFormat="1" ht="20.25">
      <c r="A1087" s="174"/>
      <c r="B1087" s="175" t="str">
        <f>IF(LEN(A1087)=0,"",INDEX('Smelter Look-up'!$A:$A,MATCH($A1087,'Smelter Look-up'!$E:$E,0)))</f>
        <v/>
      </c>
      <c r="C1087" s="179" t="str">
        <f>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56"/>
        <v/>
      </c>
      <c r="T1087" s="174" t="str">
        <f ca="1">IF(B1087="","",IF(ISERROR(MATCH($J1087,SorP!$B$1:$B$6279,0)),"",INDIRECT("'SorP'!$A$"&amp;MATCH($S1087&amp;$J1087,SorP!C:C,0))))</f>
        <v/>
      </c>
      <c r="U1087" s="194"/>
      <c r="V1087" s="218" t="e">
        <f>IF(C1087="",NA(),IF(OR(C1087="Smelter not listed",C1087="Smelter not yet identified"),MATCH($B1087&amp;$D1087,'Smelter Look-up'!$J:$J,0),MATCH($B1087&amp;$C1087,'Smelter Look-up'!$J:$J,0)))</f>
        <v>#N/A</v>
      </c>
      <c r="X1087" s="219">
        <f t="shared" ca="1" si="157"/>
        <v>0</v>
      </c>
      <c r="AB1087" s="220" t="str">
        <f t="shared" si="158"/>
        <v/>
      </c>
    </row>
    <row r="1088" spans="1:28" s="219" customFormat="1" ht="20.25">
      <c r="A1088" s="174"/>
      <c r="B1088" s="175" t="str">
        <f>IF(LEN(A1088)=0,"",INDEX('Smelter Look-up'!$A:$A,MATCH($A1088,'Smelter Look-up'!$E:$E,0)))</f>
        <v/>
      </c>
      <c r="C1088" s="179" t="str">
        <f>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56"/>
        <v/>
      </c>
      <c r="T1088" s="174" t="str">
        <f ca="1">IF(B1088="","",IF(ISERROR(MATCH($J1088,SorP!$B$1:$B$6279,0)),"",INDIRECT("'SorP'!$A$"&amp;MATCH($S1088&amp;$J1088,SorP!C:C,0))))</f>
        <v/>
      </c>
      <c r="U1088" s="194"/>
      <c r="V1088" s="218" t="e">
        <f>IF(C1088="",NA(),IF(OR(C1088="Smelter not listed",C1088="Smelter not yet identified"),MATCH($B1088&amp;$D1088,'Smelter Look-up'!$J:$J,0),MATCH($B1088&amp;$C1088,'Smelter Look-up'!$J:$J,0)))</f>
        <v>#N/A</v>
      </c>
      <c r="X1088" s="219">
        <f t="shared" ca="1" si="157"/>
        <v>0</v>
      </c>
      <c r="AB1088" s="220" t="str">
        <f t="shared" si="158"/>
        <v/>
      </c>
    </row>
    <row r="1089" spans="1:28" s="219" customFormat="1" ht="20.25">
      <c r="A1089" s="174"/>
      <c r="B1089" s="175" t="str">
        <f>IF(LEN(A1089)=0,"",INDEX('Smelter Look-up'!$A:$A,MATCH($A1089,'Smelter Look-up'!$E:$E,0)))</f>
        <v/>
      </c>
      <c r="C1089" s="179" t="str">
        <f>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56"/>
        <v/>
      </c>
      <c r="T1089" s="174" t="str">
        <f ca="1">IF(B1089="","",IF(ISERROR(MATCH($J1089,SorP!$B$1:$B$6279,0)),"",INDIRECT("'SorP'!$A$"&amp;MATCH($S1089&amp;$J1089,SorP!C:C,0))))</f>
        <v/>
      </c>
      <c r="U1089" s="194"/>
      <c r="V1089" s="218" t="e">
        <f>IF(C1089="",NA(),IF(OR(C1089="Smelter not listed",C1089="Smelter not yet identified"),MATCH($B1089&amp;$D1089,'Smelter Look-up'!$J:$J,0),MATCH($B1089&amp;$C1089,'Smelter Look-up'!$J:$J,0)))</f>
        <v>#N/A</v>
      </c>
      <c r="X1089" s="219">
        <f t="shared" ca="1" si="157"/>
        <v>0</v>
      </c>
      <c r="AB1089" s="220" t="str">
        <f t="shared" si="158"/>
        <v/>
      </c>
    </row>
    <row r="1090" spans="1:28" s="219" customFormat="1" ht="20.25">
      <c r="A1090" s="174"/>
      <c r="B1090" s="175" t="str">
        <f>IF(LEN(A1090)=0,"",INDEX('Smelter Look-up'!$A:$A,MATCH($A1090,'Smelter Look-up'!$E:$E,0)))</f>
        <v/>
      </c>
      <c r="C1090" s="179" t="str">
        <f>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56"/>
        <v/>
      </c>
      <c r="T1090" s="174" t="str">
        <f ca="1">IF(B1090="","",IF(ISERROR(MATCH($J1090,SorP!$B$1:$B$6279,0)),"",INDIRECT("'SorP'!$A$"&amp;MATCH($S1090&amp;$J1090,SorP!C:C,0))))</f>
        <v/>
      </c>
      <c r="U1090" s="194"/>
      <c r="V1090" s="218" t="e">
        <f>IF(C1090="",NA(),IF(OR(C1090="Smelter not listed",C1090="Smelter not yet identified"),MATCH($B1090&amp;$D1090,'Smelter Look-up'!$J:$J,0),MATCH($B1090&amp;$C1090,'Smelter Look-up'!$J:$J,0)))</f>
        <v>#N/A</v>
      </c>
      <c r="X1090" s="219">
        <f t="shared" ca="1" si="157"/>
        <v>0</v>
      </c>
      <c r="AB1090" s="220" t="str">
        <f t="shared" si="158"/>
        <v/>
      </c>
    </row>
    <row r="1091" spans="1:28" s="219" customFormat="1" ht="20.25">
      <c r="A1091" s="174"/>
      <c r="B1091" s="175" t="str">
        <f>IF(LEN(A1091)=0,"",INDEX('Smelter Look-up'!$A:$A,MATCH($A1091,'Smelter Look-up'!$E:$E,0)))</f>
        <v/>
      </c>
      <c r="C1091" s="179" t="str">
        <f>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56"/>
        <v/>
      </c>
      <c r="T1091" s="174" t="str">
        <f ca="1">IF(B1091="","",IF(ISERROR(MATCH($J1091,SorP!$B$1:$B$6279,0)),"",INDIRECT("'SorP'!$A$"&amp;MATCH($S1091&amp;$J1091,SorP!C:C,0))))</f>
        <v/>
      </c>
      <c r="U1091" s="194"/>
      <c r="V1091" s="218" t="e">
        <f>IF(C1091="",NA(),IF(OR(C1091="Smelter not listed",C1091="Smelter not yet identified"),MATCH($B1091&amp;$D1091,'Smelter Look-up'!$J:$J,0),MATCH($B1091&amp;$C1091,'Smelter Look-up'!$J:$J,0)))</f>
        <v>#N/A</v>
      </c>
      <c r="X1091" s="219">
        <f t="shared" ca="1" si="157"/>
        <v>0</v>
      </c>
      <c r="AB1091" s="220" t="str">
        <f t="shared" si="158"/>
        <v/>
      </c>
    </row>
    <row r="1092" spans="1:28" s="219" customFormat="1" ht="20.25">
      <c r="A1092" s="174"/>
      <c r="B1092" s="175" t="str">
        <f>IF(LEN(A1092)=0,"",INDEX('Smelter Look-up'!$A:$A,MATCH($A1092,'Smelter Look-up'!$E:$E,0)))</f>
        <v/>
      </c>
      <c r="C1092" s="179" t="str">
        <f>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56"/>
        <v/>
      </c>
      <c r="T1092" s="174" t="str">
        <f ca="1">IF(B1092="","",IF(ISERROR(MATCH($J1092,SorP!$B$1:$B$6279,0)),"",INDIRECT("'SorP'!$A$"&amp;MATCH($S1092&amp;$J1092,SorP!C:C,0))))</f>
        <v/>
      </c>
      <c r="U1092" s="194"/>
      <c r="V1092" s="218" t="e">
        <f>IF(C1092="",NA(),IF(OR(C1092="Smelter not listed",C1092="Smelter not yet identified"),MATCH($B1092&amp;$D1092,'Smelter Look-up'!$J:$J,0),MATCH($B1092&amp;$C1092,'Smelter Look-up'!$J:$J,0)))</f>
        <v>#N/A</v>
      </c>
      <c r="X1092" s="219">
        <f t="shared" ca="1" si="157"/>
        <v>0</v>
      </c>
      <c r="AB1092" s="220" t="str">
        <f t="shared" si="158"/>
        <v/>
      </c>
    </row>
    <row r="1093" spans="1:28" s="219" customFormat="1" ht="20.25">
      <c r="A1093" s="174"/>
      <c r="B1093" s="175" t="str">
        <f>IF(LEN(A1093)=0,"",INDEX('Smelter Look-up'!$A:$A,MATCH($A1093,'Smelter Look-up'!$E:$E,0)))</f>
        <v/>
      </c>
      <c r="C1093" s="179" t="str">
        <f>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56"/>
        <v/>
      </c>
      <c r="T1093" s="174" t="str">
        <f ca="1">IF(B1093="","",IF(ISERROR(MATCH($J1093,SorP!$B$1:$B$6279,0)),"",INDIRECT("'SorP'!$A$"&amp;MATCH($S1093&amp;$J1093,SorP!C:C,0))))</f>
        <v/>
      </c>
      <c r="U1093" s="194"/>
      <c r="V1093" s="218" t="e">
        <f>IF(C1093="",NA(),IF(OR(C1093="Smelter not listed",C1093="Smelter not yet identified"),MATCH($B1093&amp;$D1093,'Smelter Look-up'!$J:$J,0),MATCH($B1093&amp;$C1093,'Smelter Look-up'!$J:$J,0)))</f>
        <v>#N/A</v>
      </c>
      <c r="X1093" s="219">
        <f t="shared" ca="1" si="157"/>
        <v>0</v>
      </c>
      <c r="AB1093" s="220" t="str">
        <f t="shared" si="158"/>
        <v/>
      </c>
    </row>
    <row r="1094" spans="1:28" s="219" customFormat="1" ht="20.25">
      <c r="A1094" s="174"/>
      <c r="B1094" s="175" t="str">
        <f>IF(LEN(A1094)=0,"",INDEX('Smelter Look-up'!$A:$A,MATCH($A1094,'Smelter Look-up'!$E:$E,0)))</f>
        <v/>
      </c>
      <c r="C1094" s="179" t="str">
        <f>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56"/>
        <v/>
      </c>
      <c r="T1094" s="174" t="str">
        <f ca="1">IF(B1094="","",IF(ISERROR(MATCH($J1094,SorP!$B$1:$B$6279,0)),"",INDIRECT("'SorP'!$A$"&amp;MATCH($S1094&amp;$J1094,SorP!C:C,0))))</f>
        <v/>
      </c>
      <c r="U1094" s="194"/>
      <c r="V1094" s="218" t="e">
        <f>IF(C1094="",NA(),IF(OR(C1094="Smelter not listed",C1094="Smelter not yet identified"),MATCH($B1094&amp;$D1094,'Smelter Look-up'!$J:$J,0),MATCH($B1094&amp;$C1094,'Smelter Look-up'!$J:$J,0)))</f>
        <v>#N/A</v>
      </c>
      <c r="X1094" s="219">
        <f t="shared" ca="1" si="157"/>
        <v>0</v>
      </c>
      <c r="AB1094" s="220" t="str">
        <f t="shared" si="158"/>
        <v/>
      </c>
    </row>
    <row r="1095" spans="1:28" s="219" customFormat="1" ht="20.25">
      <c r="A1095" s="174"/>
      <c r="B1095" s="175" t="str">
        <f>IF(LEN(A1095)=0,"",INDEX('Smelter Look-up'!$A:$A,MATCH($A1095,'Smelter Look-up'!$E:$E,0)))</f>
        <v/>
      </c>
      <c r="C1095" s="179" t="str">
        <f>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56"/>
        <v/>
      </c>
      <c r="T1095" s="174" t="str">
        <f ca="1">IF(B1095="","",IF(ISERROR(MATCH($J1095,SorP!$B$1:$B$6279,0)),"",INDIRECT("'SorP'!$A$"&amp;MATCH($S1095&amp;$J1095,SorP!C:C,0))))</f>
        <v/>
      </c>
      <c r="U1095" s="194"/>
      <c r="V1095" s="218" t="e">
        <f>IF(C1095="",NA(),IF(OR(C1095="Smelter not listed",C1095="Smelter not yet identified"),MATCH($B1095&amp;$D1095,'Smelter Look-up'!$J:$J,0),MATCH($B1095&amp;$C1095,'Smelter Look-up'!$J:$J,0)))</f>
        <v>#N/A</v>
      </c>
      <c r="X1095" s="219">
        <f t="shared" ca="1" si="157"/>
        <v>0</v>
      </c>
      <c r="AB1095" s="220" t="str">
        <f t="shared" si="158"/>
        <v/>
      </c>
    </row>
    <row r="1096" spans="1:28" s="219" customFormat="1" ht="20.25">
      <c r="A1096" s="174"/>
      <c r="B1096" s="175" t="str">
        <f>IF(LEN(A1096)=0,"",INDEX('Smelter Look-up'!$A:$A,MATCH($A1096,'Smelter Look-up'!$E:$E,0)))</f>
        <v/>
      </c>
      <c r="C1096" s="179" t="str">
        <f>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56"/>
        <v/>
      </c>
      <c r="T1096" s="174" t="str">
        <f ca="1">IF(B1096="","",IF(ISERROR(MATCH($J1096,SorP!$B$1:$B$6279,0)),"",INDIRECT("'SorP'!$A$"&amp;MATCH($S1096&amp;$J1096,SorP!C:C,0))))</f>
        <v/>
      </c>
      <c r="U1096" s="194"/>
      <c r="V1096" s="218" t="e">
        <f>IF(C1096="",NA(),IF(OR(C1096="Smelter not listed",C1096="Smelter not yet identified"),MATCH($B1096&amp;$D1096,'Smelter Look-up'!$J:$J,0),MATCH($B1096&amp;$C1096,'Smelter Look-up'!$J:$J,0)))</f>
        <v>#N/A</v>
      </c>
      <c r="X1096" s="219">
        <f t="shared" ca="1" si="157"/>
        <v>0</v>
      </c>
      <c r="AB1096" s="220" t="str">
        <f t="shared" si="158"/>
        <v/>
      </c>
    </row>
    <row r="1097" spans="1:28" s="219" customFormat="1" ht="20.25">
      <c r="A1097" s="174"/>
      <c r="B1097" s="175" t="str">
        <f>IF(LEN(A1097)=0,"",INDEX('Smelter Look-up'!$A:$A,MATCH($A1097,'Smelter Look-up'!$E:$E,0)))</f>
        <v/>
      </c>
      <c r="C1097" s="179" t="str">
        <f>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56"/>
        <v/>
      </c>
      <c r="T1097" s="174" t="str">
        <f ca="1">IF(B1097="","",IF(ISERROR(MATCH($J1097,SorP!$B$1:$B$6279,0)),"",INDIRECT("'SorP'!$A$"&amp;MATCH($S1097&amp;$J1097,SorP!C:C,0))))</f>
        <v/>
      </c>
      <c r="U1097" s="194"/>
      <c r="V1097" s="218" t="e">
        <f>IF(C1097="",NA(),IF(OR(C1097="Smelter not listed",C1097="Smelter not yet identified"),MATCH($B1097&amp;$D1097,'Smelter Look-up'!$J:$J,0),MATCH($B1097&amp;$C1097,'Smelter Look-up'!$J:$J,0)))</f>
        <v>#N/A</v>
      </c>
      <c r="X1097" s="219">
        <f t="shared" ca="1" si="157"/>
        <v>0</v>
      </c>
      <c r="AB1097" s="220" t="str">
        <f t="shared" si="158"/>
        <v/>
      </c>
    </row>
    <row r="1098" spans="1:28" s="219" customFormat="1" ht="20.25">
      <c r="A1098" s="174"/>
      <c r="B1098" s="175" t="str">
        <f>IF(LEN(A1098)=0,"",INDEX('Smelter Look-up'!$A:$A,MATCH($A1098,'Smelter Look-up'!$E:$E,0)))</f>
        <v/>
      </c>
      <c r="C1098" s="179" t="str">
        <f>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56"/>
        <v/>
      </c>
      <c r="T1098" s="174" t="str">
        <f ca="1">IF(B1098="","",IF(ISERROR(MATCH($J1098,SorP!$B$1:$B$6279,0)),"",INDIRECT("'SorP'!$A$"&amp;MATCH($S1098&amp;$J1098,SorP!C:C,0))))</f>
        <v/>
      </c>
      <c r="U1098" s="194"/>
      <c r="V1098" s="218" t="e">
        <f>IF(C1098="",NA(),IF(OR(C1098="Smelter not listed",C1098="Smelter not yet identified"),MATCH($B1098&amp;$D1098,'Smelter Look-up'!$J:$J,0),MATCH($B1098&amp;$C1098,'Smelter Look-up'!$J:$J,0)))</f>
        <v>#N/A</v>
      </c>
      <c r="X1098" s="219">
        <f t="shared" ca="1" si="157"/>
        <v>0</v>
      </c>
      <c r="AB1098" s="220" t="str">
        <f t="shared" si="158"/>
        <v/>
      </c>
    </row>
    <row r="1099" spans="1:28" s="219" customFormat="1" ht="20.25">
      <c r="A1099" s="174"/>
      <c r="B1099" s="175" t="str">
        <f>IF(LEN(A1099)=0,"",INDEX('Smelter Look-up'!$A:$A,MATCH($A1099,'Smelter Look-up'!$E:$E,0)))</f>
        <v/>
      </c>
      <c r="C1099" s="179" t="str">
        <f>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56"/>
        <v/>
      </c>
      <c r="T1099" s="174" t="str">
        <f ca="1">IF(B1099="","",IF(ISERROR(MATCH($J1099,SorP!$B$1:$B$6279,0)),"",INDIRECT("'SorP'!$A$"&amp;MATCH($S1099&amp;$J1099,SorP!C:C,0))))</f>
        <v/>
      </c>
      <c r="U1099" s="194"/>
      <c r="V1099" s="218" t="e">
        <f>IF(C1099="",NA(),IF(OR(C1099="Smelter not listed",C1099="Smelter not yet identified"),MATCH($B1099&amp;$D1099,'Smelter Look-up'!$J:$J,0),MATCH($B1099&amp;$C1099,'Smelter Look-up'!$J:$J,0)))</f>
        <v>#N/A</v>
      </c>
      <c r="X1099" s="219">
        <f t="shared" ca="1" si="157"/>
        <v>0</v>
      </c>
      <c r="AB1099" s="220" t="str">
        <f t="shared" si="158"/>
        <v/>
      </c>
    </row>
    <row r="1100" spans="1:28" s="219" customFormat="1" ht="20.25">
      <c r="A1100" s="174"/>
      <c r="B1100" s="175" t="str">
        <f>IF(LEN(A1100)=0,"",INDEX('Smelter Look-up'!$A:$A,MATCH($A1100,'Smelter Look-up'!$E:$E,0)))</f>
        <v/>
      </c>
      <c r="C1100" s="179" t="str">
        <f>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56"/>
        <v/>
      </c>
      <c r="T1100" s="174" t="str">
        <f ca="1">IF(B1100="","",IF(ISERROR(MATCH($J1100,SorP!$B$1:$B$6279,0)),"",INDIRECT("'SorP'!$A$"&amp;MATCH($S1100&amp;$J1100,SorP!C:C,0))))</f>
        <v/>
      </c>
      <c r="U1100" s="194"/>
      <c r="V1100" s="218" t="e">
        <f>IF(C1100="",NA(),IF(OR(C1100="Smelter not listed",C1100="Smelter not yet identified"),MATCH($B1100&amp;$D1100,'Smelter Look-up'!$J:$J,0),MATCH($B1100&amp;$C1100,'Smelter Look-up'!$J:$J,0)))</f>
        <v>#N/A</v>
      </c>
      <c r="X1100" s="219">
        <f t="shared" ca="1" si="157"/>
        <v>0</v>
      </c>
      <c r="AB1100" s="220" t="str">
        <f t="shared" si="158"/>
        <v/>
      </c>
    </row>
    <row r="1101" spans="1:28" s="219" customFormat="1" ht="20.25">
      <c r="A1101" s="174"/>
      <c r="B1101" s="175" t="str">
        <f>IF(LEN(A1101)=0,"",INDEX('Smelter Look-up'!$A:$A,MATCH($A1101,'Smelter Look-up'!$E:$E,0)))</f>
        <v/>
      </c>
      <c r="C1101" s="179" t="str">
        <f>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56"/>
        <v/>
      </c>
      <c r="T1101" s="174" t="str">
        <f ca="1">IF(B1101="","",IF(ISERROR(MATCH($J1101,SorP!$B$1:$B$6279,0)),"",INDIRECT("'SorP'!$A$"&amp;MATCH($S1101&amp;$J1101,SorP!C:C,0))))</f>
        <v/>
      </c>
      <c r="U1101" s="194"/>
      <c r="V1101" s="218" t="e">
        <f>IF(C1101="",NA(),IF(OR(C1101="Smelter not listed",C1101="Smelter not yet identified"),MATCH($B1101&amp;$D1101,'Smelter Look-up'!$J:$J,0),MATCH($B1101&amp;$C1101,'Smelter Look-up'!$J:$J,0)))</f>
        <v>#N/A</v>
      </c>
      <c r="X1101" s="219">
        <f t="shared" ca="1" si="157"/>
        <v>0</v>
      </c>
      <c r="AB1101" s="220" t="str">
        <f t="shared" si="158"/>
        <v/>
      </c>
    </row>
    <row r="1102" spans="1:28" s="219" customFormat="1" ht="20.25">
      <c r="A1102" s="174"/>
      <c r="B1102" s="175" t="str">
        <f>IF(LEN(A1102)=0,"",INDEX('Smelter Look-up'!$A:$A,MATCH($A1102,'Smelter Look-up'!$E:$E,0)))</f>
        <v/>
      </c>
      <c r="C1102" s="179" t="str">
        <f>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56"/>
        <v/>
      </c>
      <c r="T1102" s="174" t="str">
        <f ca="1">IF(B1102="","",IF(ISERROR(MATCH($J1102,SorP!$B$1:$B$6279,0)),"",INDIRECT("'SorP'!$A$"&amp;MATCH($S1102&amp;$J1102,SorP!C:C,0))))</f>
        <v/>
      </c>
      <c r="U1102" s="194"/>
      <c r="V1102" s="218" t="e">
        <f>IF(C1102="",NA(),IF(OR(C1102="Smelter not listed",C1102="Smelter not yet identified"),MATCH($B1102&amp;$D1102,'Smelter Look-up'!$J:$J,0),MATCH($B1102&amp;$C1102,'Smelter Look-up'!$J:$J,0)))</f>
        <v>#N/A</v>
      </c>
      <c r="X1102" s="219">
        <f t="shared" ca="1" si="157"/>
        <v>0</v>
      </c>
      <c r="AB1102" s="220" t="str">
        <f t="shared" si="158"/>
        <v/>
      </c>
    </row>
    <row r="1103" spans="1:28" s="219" customFormat="1" ht="20.25">
      <c r="A1103" s="174"/>
      <c r="B1103" s="175" t="str">
        <f>IF(LEN(A1103)=0,"",INDEX('Smelter Look-up'!$A:$A,MATCH($A1103,'Smelter Look-up'!$E:$E,0)))</f>
        <v/>
      </c>
      <c r="C1103" s="179" t="str">
        <f>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56"/>
        <v/>
      </c>
      <c r="T1103" s="174" t="str">
        <f ca="1">IF(B1103="","",IF(ISERROR(MATCH($J1103,SorP!$B$1:$B$6279,0)),"",INDIRECT("'SorP'!$A$"&amp;MATCH($S1103&amp;$J1103,SorP!C:C,0))))</f>
        <v/>
      </c>
      <c r="U1103" s="194"/>
      <c r="V1103" s="218" t="e">
        <f>IF(C1103="",NA(),IF(OR(C1103="Smelter not listed",C1103="Smelter not yet identified"),MATCH($B1103&amp;$D1103,'Smelter Look-up'!$J:$J,0),MATCH($B1103&amp;$C1103,'Smelter Look-up'!$J:$J,0)))</f>
        <v>#N/A</v>
      </c>
      <c r="X1103" s="219">
        <f t="shared" ca="1" si="157"/>
        <v>0</v>
      </c>
      <c r="AB1103" s="220" t="str">
        <f t="shared" si="158"/>
        <v/>
      </c>
    </row>
    <row r="1104" spans="1:28" s="219" customFormat="1" ht="20.25">
      <c r="A1104" s="174"/>
      <c r="B1104" s="175" t="str">
        <f>IF(LEN(A1104)=0,"",INDEX('Smelter Look-up'!$A:$A,MATCH($A1104,'Smelter Look-up'!$E:$E,0)))</f>
        <v/>
      </c>
      <c r="C1104" s="179" t="str">
        <f>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56"/>
        <v/>
      </c>
      <c r="T1104" s="174" t="str">
        <f ca="1">IF(B1104="","",IF(ISERROR(MATCH($J1104,SorP!$B$1:$B$6279,0)),"",INDIRECT("'SorP'!$A$"&amp;MATCH($S1104&amp;$J1104,SorP!C:C,0))))</f>
        <v/>
      </c>
      <c r="U1104" s="194"/>
      <c r="V1104" s="218" t="e">
        <f>IF(C1104="",NA(),IF(OR(C1104="Smelter not listed",C1104="Smelter not yet identified"),MATCH($B1104&amp;$D1104,'Smelter Look-up'!$J:$J,0),MATCH($B1104&amp;$C1104,'Smelter Look-up'!$J:$J,0)))</f>
        <v>#N/A</v>
      </c>
      <c r="X1104" s="219">
        <f t="shared" ca="1" si="157"/>
        <v>0</v>
      </c>
      <c r="AB1104" s="220" t="str">
        <f t="shared" si="158"/>
        <v/>
      </c>
    </row>
    <row r="1105" spans="1:28" s="219" customFormat="1" ht="20.25">
      <c r="A1105" s="174"/>
      <c r="B1105" s="175" t="str">
        <f>IF(LEN(A1105)=0,"",INDEX('Smelter Look-up'!$A:$A,MATCH($A1105,'Smelter Look-up'!$E:$E,0)))</f>
        <v/>
      </c>
      <c r="C1105" s="179" t="str">
        <f>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56"/>
        <v/>
      </c>
      <c r="T1105" s="174" t="str">
        <f ca="1">IF(B1105="","",IF(ISERROR(MATCH($J1105,SorP!$B$1:$B$6279,0)),"",INDIRECT("'SorP'!$A$"&amp;MATCH($S1105&amp;$J1105,SorP!C:C,0))))</f>
        <v/>
      </c>
      <c r="U1105" s="194"/>
      <c r="V1105" s="218" t="e">
        <f>IF(C1105="",NA(),IF(OR(C1105="Smelter not listed",C1105="Smelter not yet identified"),MATCH($B1105&amp;$D1105,'Smelter Look-up'!$J:$J,0),MATCH($B1105&amp;$C1105,'Smelter Look-up'!$J:$J,0)))</f>
        <v>#N/A</v>
      </c>
      <c r="X1105" s="219">
        <f t="shared" ca="1" si="157"/>
        <v>0</v>
      </c>
      <c r="AB1105" s="220" t="str">
        <f t="shared" si="158"/>
        <v/>
      </c>
    </row>
    <row r="1106" spans="1:28" s="219" customFormat="1" ht="20.25">
      <c r="A1106" s="174"/>
      <c r="B1106" s="175" t="str">
        <f>IF(LEN(A1106)=0,"",INDEX('Smelter Look-up'!$A:$A,MATCH($A1106,'Smelter Look-up'!$E:$E,0)))</f>
        <v/>
      </c>
      <c r="C1106" s="179" t="str">
        <f>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56"/>
        <v/>
      </c>
      <c r="T1106" s="174" t="str">
        <f ca="1">IF(B1106="","",IF(ISERROR(MATCH($J1106,SorP!$B$1:$B$6279,0)),"",INDIRECT("'SorP'!$A$"&amp;MATCH($S1106&amp;$J1106,SorP!C:C,0))))</f>
        <v/>
      </c>
      <c r="U1106" s="194"/>
      <c r="V1106" s="218" t="e">
        <f>IF(C1106="",NA(),IF(OR(C1106="Smelter not listed",C1106="Smelter not yet identified"),MATCH($B1106&amp;$D1106,'Smelter Look-up'!$J:$J,0),MATCH($B1106&amp;$C1106,'Smelter Look-up'!$J:$J,0)))</f>
        <v>#N/A</v>
      </c>
      <c r="X1106" s="219">
        <f t="shared" ca="1" si="157"/>
        <v>0</v>
      </c>
      <c r="AB1106" s="220" t="str">
        <f t="shared" si="158"/>
        <v/>
      </c>
    </row>
    <row r="1107" spans="1:28" s="219" customFormat="1" ht="20.25">
      <c r="A1107" s="174"/>
      <c r="B1107" s="175" t="str">
        <f>IF(LEN(A1107)=0,"",INDEX('Smelter Look-up'!$A:$A,MATCH($A1107,'Smelter Look-up'!$E:$E,0)))</f>
        <v/>
      </c>
      <c r="C1107" s="179" t="str">
        <f>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56"/>
        <v/>
      </c>
      <c r="T1107" s="174" t="str">
        <f ca="1">IF(B1107="","",IF(ISERROR(MATCH($J1107,SorP!$B$1:$B$6279,0)),"",INDIRECT("'SorP'!$A$"&amp;MATCH($S1107&amp;$J1107,SorP!C:C,0))))</f>
        <v/>
      </c>
      <c r="U1107" s="194"/>
      <c r="V1107" s="218" t="e">
        <f>IF(C1107="",NA(),IF(OR(C1107="Smelter not listed",C1107="Smelter not yet identified"),MATCH($B1107&amp;$D1107,'Smelter Look-up'!$J:$J,0),MATCH($B1107&amp;$C1107,'Smelter Look-up'!$J:$J,0)))</f>
        <v>#N/A</v>
      </c>
      <c r="X1107" s="219">
        <f t="shared" ca="1" si="157"/>
        <v>0</v>
      </c>
      <c r="AB1107" s="220" t="str">
        <f t="shared" si="158"/>
        <v/>
      </c>
    </row>
    <row r="1108" spans="1:28" s="219" customFormat="1" ht="20.25">
      <c r="A1108" s="174"/>
      <c r="B1108" s="175" t="str">
        <f>IF(LEN(A1108)=0,"",INDEX('Smelter Look-up'!$A:$A,MATCH($A1108,'Smelter Look-up'!$E:$E,0)))</f>
        <v/>
      </c>
      <c r="C1108" s="179" t="str">
        <f>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56"/>
        <v/>
      </c>
      <c r="T1108" s="174" t="str">
        <f ca="1">IF(B1108="","",IF(ISERROR(MATCH($J1108,SorP!$B$1:$B$6279,0)),"",INDIRECT("'SorP'!$A$"&amp;MATCH($S1108&amp;$J1108,SorP!C:C,0))))</f>
        <v/>
      </c>
      <c r="U1108" s="194"/>
      <c r="V1108" s="218" t="e">
        <f>IF(C1108="",NA(),IF(OR(C1108="Smelter not listed",C1108="Smelter not yet identified"),MATCH($B1108&amp;$D1108,'Smelter Look-up'!$J:$J,0),MATCH($B1108&amp;$C1108,'Smelter Look-up'!$J:$J,0)))</f>
        <v>#N/A</v>
      </c>
      <c r="X1108" s="219">
        <f t="shared" ca="1" si="157"/>
        <v>0</v>
      </c>
      <c r="AB1108" s="220" t="str">
        <f t="shared" si="158"/>
        <v/>
      </c>
    </row>
    <row r="1109" spans="1:28" s="219" customFormat="1" ht="20.25">
      <c r="A1109" s="174"/>
      <c r="B1109" s="175" t="str">
        <f>IF(LEN(A1109)=0,"",INDEX('Smelter Look-up'!$A:$A,MATCH($A1109,'Smelter Look-up'!$E:$E,0)))</f>
        <v/>
      </c>
      <c r="C1109" s="179" t="str">
        <f>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56"/>
        <v/>
      </c>
      <c r="T1109" s="174" t="str">
        <f ca="1">IF(B1109="","",IF(ISERROR(MATCH($J1109,SorP!$B$1:$B$6279,0)),"",INDIRECT("'SorP'!$A$"&amp;MATCH($S1109&amp;$J1109,SorP!C:C,0))))</f>
        <v/>
      </c>
      <c r="U1109" s="194"/>
      <c r="V1109" s="218" t="e">
        <f>IF(C1109="",NA(),IF(OR(C1109="Smelter not listed",C1109="Smelter not yet identified"),MATCH($B1109&amp;$D1109,'Smelter Look-up'!$J:$J,0),MATCH($B1109&amp;$C1109,'Smelter Look-up'!$J:$J,0)))</f>
        <v>#N/A</v>
      </c>
      <c r="X1109" s="219">
        <f t="shared" ca="1" si="157"/>
        <v>0</v>
      </c>
      <c r="AB1109" s="220" t="str">
        <f t="shared" si="158"/>
        <v/>
      </c>
    </row>
    <row r="1110" spans="1:28" s="219" customFormat="1" ht="20.25">
      <c r="A1110" s="174"/>
      <c r="B1110" s="175" t="str">
        <f>IF(LEN(A1110)=0,"",INDEX('Smelter Look-up'!$A:$A,MATCH($A1110,'Smelter Look-up'!$E:$E,0)))</f>
        <v/>
      </c>
      <c r="C1110" s="179" t="str">
        <f>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56"/>
        <v/>
      </c>
      <c r="T1110" s="174" t="str">
        <f ca="1">IF(B1110="","",IF(ISERROR(MATCH($J1110,SorP!$B$1:$B$6279,0)),"",INDIRECT("'SorP'!$A$"&amp;MATCH($S1110&amp;$J1110,SorP!C:C,0))))</f>
        <v/>
      </c>
      <c r="U1110" s="194"/>
      <c r="V1110" s="218" t="e">
        <f>IF(C1110="",NA(),IF(OR(C1110="Smelter not listed",C1110="Smelter not yet identified"),MATCH($B1110&amp;$D1110,'Smelter Look-up'!$J:$J,0),MATCH($B1110&amp;$C1110,'Smelter Look-up'!$J:$J,0)))</f>
        <v>#N/A</v>
      </c>
      <c r="X1110" s="219">
        <f t="shared" ca="1" si="157"/>
        <v>0</v>
      </c>
      <c r="AB1110" s="220" t="str">
        <f t="shared" si="158"/>
        <v/>
      </c>
    </row>
    <row r="1111" spans="1:28" s="219" customFormat="1" ht="20.25">
      <c r="A1111" s="174"/>
      <c r="B1111" s="175" t="str">
        <f>IF(LEN(A1111)=0,"",INDEX('Smelter Look-up'!$A:$A,MATCH($A1111,'Smelter Look-up'!$E:$E,0)))</f>
        <v/>
      </c>
      <c r="C1111" s="179" t="str">
        <f>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56"/>
        <v/>
      </c>
      <c r="T1111" s="174" t="str">
        <f ca="1">IF(B1111="","",IF(ISERROR(MATCH($J1111,SorP!$B$1:$B$6279,0)),"",INDIRECT("'SorP'!$A$"&amp;MATCH($S1111&amp;$J1111,SorP!C:C,0))))</f>
        <v/>
      </c>
      <c r="U1111" s="194"/>
      <c r="V1111" s="218" t="e">
        <f>IF(C1111="",NA(),IF(OR(C1111="Smelter not listed",C1111="Smelter not yet identified"),MATCH($B1111&amp;$D1111,'Smelter Look-up'!$J:$J,0),MATCH($B1111&amp;$C1111,'Smelter Look-up'!$J:$J,0)))</f>
        <v>#N/A</v>
      </c>
      <c r="X1111" s="219">
        <f t="shared" ca="1" si="157"/>
        <v>0</v>
      </c>
      <c r="AB1111" s="220" t="str">
        <f t="shared" si="158"/>
        <v/>
      </c>
    </row>
    <row r="1112" spans="1:28" s="219" customFormat="1" ht="20.25">
      <c r="A1112" s="174"/>
      <c r="B1112" s="175" t="str">
        <f>IF(LEN(A1112)=0,"",INDEX('Smelter Look-up'!$A:$A,MATCH($A1112,'Smelter Look-up'!$E:$E,0)))</f>
        <v/>
      </c>
      <c r="C1112" s="179" t="str">
        <f>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56"/>
        <v/>
      </c>
      <c r="T1112" s="174" t="str">
        <f ca="1">IF(B1112="","",IF(ISERROR(MATCH($J1112,SorP!$B$1:$B$6279,0)),"",INDIRECT("'SorP'!$A$"&amp;MATCH($S1112&amp;$J1112,SorP!C:C,0))))</f>
        <v/>
      </c>
      <c r="U1112" s="194"/>
      <c r="V1112" s="218" t="e">
        <f>IF(C1112="",NA(),IF(OR(C1112="Smelter not listed",C1112="Smelter not yet identified"),MATCH($B1112&amp;$D1112,'Smelter Look-up'!$J:$J,0),MATCH($B1112&amp;$C1112,'Smelter Look-up'!$J:$J,0)))</f>
        <v>#N/A</v>
      </c>
      <c r="X1112" s="219">
        <f t="shared" ca="1" si="157"/>
        <v>0</v>
      </c>
      <c r="AB1112" s="220" t="str">
        <f t="shared" si="158"/>
        <v/>
      </c>
    </row>
    <row r="1113" spans="1:28" s="219" customFormat="1" ht="20.25">
      <c r="A1113" s="174"/>
      <c r="B1113" s="175" t="str">
        <f>IF(LEN(A1113)=0,"",INDEX('Smelter Look-up'!$A:$A,MATCH($A1113,'Smelter Look-up'!$E:$E,0)))</f>
        <v/>
      </c>
      <c r="C1113" s="179" t="str">
        <f>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56"/>
        <v/>
      </c>
      <c r="T1113" s="174" t="str">
        <f ca="1">IF(B1113="","",IF(ISERROR(MATCH($J1113,SorP!$B$1:$B$6279,0)),"",INDIRECT("'SorP'!$A$"&amp;MATCH($S1113&amp;$J1113,SorP!C:C,0))))</f>
        <v/>
      </c>
      <c r="U1113" s="194"/>
      <c r="V1113" s="218" t="e">
        <f>IF(C1113="",NA(),IF(OR(C1113="Smelter not listed",C1113="Smelter not yet identified"),MATCH($B1113&amp;$D1113,'Smelter Look-up'!$J:$J,0),MATCH($B1113&amp;$C1113,'Smelter Look-up'!$J:$J,0)))</f>
        <v>#N/A</v>
      </c>
      <c r="X1113" s="219">
        <f t="shared" ca="1" si="157"/>
        <v>0</v>
      </c>
      <c r="AB1113" s="220" t="str">
        <f t="shared" si="158"/>
        <v/>
      </c>
    </row>
    <row r="1114" spans="1:28" s="219" customFormat="1" ht="20.25">
      <c r="A1114" s="174"/>
      <c r="B1114" s="175" t="str">
        <f>IF(LEN(A1114)=0,"",INDEX('Smelter Look-up'!$A:$A,MATCH($A1114,'Smelter Look-up'!$E:$E,0)))</f>
        <v/>
      </c>
      <c r="C1114" s="179" t="str">
        <f>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56"/>
        <v/>
      </c>
      <c r="T1114" s="174" t="str">
        <f ca="1">IF(B1114="","",IF(ISERROR(MATCH($J1114,SorP!$B$1:$B$6279,0)),"",INDIRECT("'SorP'!$A$"&amp;MATCH($S1114&amp;$J1114,SorP!C:C,0))))</f>
        <v/>
      </c>
      <c r="U1114" s="194"/>
      <c r="V1114" s="218" t="e">
        <f>IF(C1114="",NA(),IF(OR(C1114="Smelter not listed",C1114="Smelter not yet identified"),MATCH($B1114&amp;$D1114,'Smelter Look-up'!$J:$J,0),MATCH($B1114&amp;$C1114,'Smelter Look-up'!$J:$J,0)))</f>
        <v>#N/A</v>
      </c>
      <c r="X1114" s="219">
        <f t="shared" ca="1" si="157"/>
        <v>0</v>
      </c>
      <c r="AB1114" s="220" t="str">
        <f t="shared" si="158"/>
        <v/>
      </c>
    </row>
    <row r="1115" spans="1:28" s="219" customFormat="1" ht="20.25">
      <c r="A1115" s="174"/>
      <c r="B1115" s="175" t="str">
        <f>IF(LEN(A1115)=0,"",INDEX('Smelter Look-up'!$A:$A,MATCH($A1115,'Smelter Look-up'!$E:$E,0)))</f>
        <v/>
      </c>
      <c r="C1115" s="179" t="str">
        <f>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56"/>
        <v/>
      </c>
      <c r="T1115" s="174" t="str">
        <f ca="1">IF(B1115="","",IF(ISERROR(MATCH($J1115,SorP!$B$1:$B$6279,0)),"",INDIRECT("'SorP'!$A$"&amp;MATCH($S1115&amp;$J1115,SorP!C:C,0))))</f>
        <v/>
      </c>
      <c r="U1115" s="194"/>
      <c r="V1115" s="218" t="e">
        <f>IF(C1115="",NA(),IF(OR(C1115="Smelter not listed",C1115="Smelter not yet identified"),MATCH($B1115&amp;$D1115,'Smelter Look-up'!$J:$J,0),MATCH($B1115&amp;$C1115,'Smelter Look-up'!$J:$J,0)))</f>
        <v>#N/A</v>
      </c>
      <c r="X1115" s="219">
        <f t="shared" ca="1" si="157"/>
        <v>0</v>
      </c>
      <c r="AB1115" s="220" t="str">
        <f t="shared" si="158"/>
        <v/>
      </c>
    </row>
    <row r="1116" spans="1:28" s="219" customFormat="1" ht="20.25">
      <c r="A1116" s="174"/>
      <c r="B1116" s="175" t="str">
        <f>IF(LEN(A1116)=0,"",INDEX('Smelter Look-up'!$A:$A,MATCH($A1116,'Smelter Look-up'!$E:$E,0)))</f>
        <v/>
      </c>
      <c r="C1116" s="179" t="str">
        <f>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ref="S1116:S1146" ca="1" si="159">IF(B1116="","",IF(ISERROR(MATCH($E1116,CL,0)),"Unknown",INDIRECT("'C'!$A$"&amp;MATCH($E1116,CL,0)+1)))</f>
        <v/>
      </c>
      <c r="T1116" s="174" t="str">
        <f ca="1">IF(B1116="","",IF(ISERROR(MATCH($J1116,SorP!$B$1:$B$6279,0)),"",INDIRECT("'SorP'!$A$"&amp;MATCH($S1116&amp;$J1116,SorP!C:C,0))))</f>
        <v/>
      </c>
      <c r="U1116" s="194"/>
      <c r="V1116" s="218" t="e">
        <f>IF(C1116="",NA(),IF(OR(C1116="Smelter not listed",C1116="Smelter not yet identified"),MATCH($B1116&amp;$D1116,'Smelter Look-up'!$J:$J,0),MATCH($B1116&amp;$C1116,'Smelter Look-up'!$J:$J,0)))</f>
        <v>#N/A</v>
      </c>
      <c r="X1116" s="219">
        <f t="shared" ref="X1116:X1146" ca="1" si="160">IF(AND(C1116="Smelter not listed",OR(LEN(D1116)=0,LEN(E1116)=0)),1,0)</f>
        <v>0</v>
      </c>
      <c r="AB1116" s="220" t="str">
        <f t="shared" ref="AB1116:AB1146" si="161">B1116&amp;C1116</f>
        <v/>
      </c>
    </row>
    <row r="1117" spans="1:28" s="219" customFormat="1" ht="20.25">
      <c r="A1117" s="174"/>
      <c r="B1117" s="175" t="str">
        <f>IF(LEN(A1117)=0,"",INDEX('Smelter Look-up'!$A:$A,MATCH($A1117,'Smelter Look-up'!$E:$E,0)))</f>
        <v/>
      </c>
      <c r="C1117" s="179" t="str">
        <f>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59"/>
        <v/>
      </c>
      <c r="T1117" s="174" t="str">
        <f ca="1">IF(B1117="","",IF(ISERROR(MATCH($J1117,SorP!$B$1:$B$6279,0)),"",INDIRECT("'SorP'!$A$"&amp;MATCH($S1117&amp;$J1117,SorP!C:C,0))))</f>
        <v/>
      </c>
      <c r="U1117" s="194"/>
      <c r="V1117" s="218" t="e">
        <f>IF(C1117="",NA(),IF(OR(C1117="Smelter not listed",C1117="Smelter not yet identified"),MATCH($B1117&amp;$D1117,'Smelter Look-up'!$J:$J,0),MATCH($B1117&amp;$C1117,'Smelter Look-up'!$J:$J,0)))</f>
        <v>#N/A</v>
      </c>
      <c r="X1117" s="219">
        <f t="shared" ca="1" si="160"/>
        <v>0</v>
      </c>
      <c r="AB1117" s="220" t="str">
        <f t="shared" si="161"/>
        <v/>
      </c>
    </row>
    <row r="1118" spans="1:28" s="219" customFormat="1" ht="20.25">
      <c r="A1118" s="174"/>
      <c r="B1118" s="175" t="str">
        <f>IF(LEN(A1118)=0,"",INDEX('Smelter Look-up'!$A:$A,MATCH($A1118,'Smelter Look-up'!$E:$E,0)))</f>
        <v/>
      </c>
      <c r="C1118" s="179" t="str">
        <f>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59"/>
        <v/>
      </c>
      <c r="T1118" s="174" t="str">
        <f ca="1">IF(B1118="","",IF(ISERROR(MATCH($J1118,SorP!$B$1:$B$6279,0)),"",INDIRECT("'SorP'!$A$"&amp;MATCH($S1118&amp;$J1118,SorP!C:C,0))))</f>
        <v/>
      </c>
      <c r="U1118" s="194"/>
      <c r="V1118" s="218" t="e">
        <f>IF(C1118="",NA(),IF(OR(C1118="Smelter not listed",C1118="Smelter not yet identified"),MATCH($B1118&amp;$D1118,'Smelter Look-up'!$J:$J,0),MATCH($B1118&amp;$C1118,'Smelter Look-up'!$J:$J,0)))</f>
        <v>#N/A</v>
      </c>
      <c r="X1118" s="219">
        <f t="shared" ca="1" si="160"/>
        <v>0</v>
      </c>
      <c r="AB1118" s="220" t="str">
        <f t="shared" si="161"/>
        <v/>
      </c>
    </row>
    <row r="1119" spans="1:28" s="219" customFormat="1" ht="20.25">
      <c r="A1119" s="174"/>
      <c r="B1119" s="175" t="str">
        <f>IF(LEN(A1119)=0,"",INDEX('Smelter Look-up'!$A:$A,MATCH($A1119,'Smelter Look-up'!$E:$E,0)))</f>
        <v/>
      </c>
      <c r="C1119" s="179" t="str">
        <f>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59"/>
        <v/>
      </c>
      <c r="T1119" s="174" t="str">
        <f ca="1">IF(B1119="","",IF(ISERROR(MATCH($J1119,SorP!$B$1:$B$6279,0)),"",INDIRECT("'SorP'!$A$"&amp;MATCH($S1119&amp;$J1119,SorP!C:C,0))))</f>
        <v/>
      </c>
      <c r="U1119" s="194"/>
      <c r="V1119" s="218" t="e">
        <f>IF(C1119="",NA(),IF(OR(C1119="Smelter not listed",C1119="Smelter not yet identified"),MATCH($B1119&amp;$D1119,'Smelter Look-up'!$J:$J,0),MATCH($B1119&amp;$C1119,'Smelter Look-up'!$J:$J,0)))</f>
        <v>#N/A</v>
      </c>
      <c r="X1119" s="219">
        <f t="shared" ca="1" si="160"/>
        <v>0</v>
      </c>
      <c r="AB1119" s="220" t="str">
        <f t="shared" si="161"/>
        <v/>
      </c>
    </row>
    <row r="1120" spans="1:28" s="219" customFormat="1" ht="20.25">
      <c r="A1120" s="174"/>
      <c r="B1120" s="175" t="str">
        <f>IF(LEN(A1120)=0,"",INDEX('Smelter Look-up'!$A:$A,MATCH($A1120,'Smelter Look-up'!$E:$E,0)))</f>
        <v/>
      </c>
      <c r="C1120" s="179" t="str">
        <f>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59"/>
        <v/>
      </c>
      <c r="T1120" s="174" t="str">
        <f ca="1">IF(B1120="","",IF(ISERROR(MATCH($J1120,SorP!$B$1:$B$6279,0)),"",INDIRECT("'SorP'!$A$"&amp;MATCH($S1120&amp;$J1120,SorP!C:C,0))))</f>
        <v/>
      </c>
      <c r="U1120" s="194"/>
      <c r="V1120" s="218" t="e">
        <f>IF(C1120="",NA(),IF(OR(C1120="Smelter not listed",C1120="Smelter not yet identified"),MATCH($B1120&amp;$D1120,'Smelter Look-up'!$J:$J,0),MATCH($B1120&amp;$C1120,'Smelter Look-up'!$J:$J,0)))</f>
        <v>#N/A</v>
      </c>
      <c r="X1120" s="219">
        <f t="shared" ca="1" si="160"/>
        <v>0</v>
      </c>
      <c r="AB1120" s="220" t="str">
        <f t="shared" si="161"/>
        <v/>
      </c>
    </row>
    <row r="1121" spans="1:28" s="219" customFormat="1" ht="20.25">
      <c r="A1121" s="174"/>
      <c r="B1121" s="175" t="str">
        <f>IF(LEN(A1121)=0,"",INDEX('Smelter Look-up'!$A:$A,MATCH($A1121,'Smelter Look-up'!$E:$E,0)))</f>
        <v/>
      </c>
      <c r="C1121" s="179" t="str">
        <f>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59"/>
        <v/>
      </c>
      <c r="T1121" s="174" t="str">
        <f ca="1">IF(B1121="","",IF(ISERROR(MATCH($J1121,SorP!$B$1:$B$6279,0)),"",INDIRECT("'SorP'!$A$"&amp;MATCH($S1121&amp;$J1121,SorP!C:C,0))))</f>
        <v/>
      </c>
      <c r="U1121" s="194"/>
      <c r="V1121" s="218" t="e">
        <f>IF(C1121="",NA(),IF(OR(C1121="Smelter not listed",C1121="Smelter not yet identified"),MATCH($B1121&amp;$D1121,'Smelter Look-up'!$J:$J,0),MATCH($B1121&amp;$C1121,'Smelter Look-up'!$J:$J,0)))</f>
        <v>#N/A</v>
      </c>
      <c r="X1121" s="219">
        <f t="shared" ca="1" si="160"/>
        <v>0</v>
      </c>
      <c r="AB1121" s="220" t="str">
        <f t="shared" si="161"/>
        <v/>
      </c>
    </row>
    <row r="1122" spans="1:28" s="219" customFormat="1" ht="20.25">
      <c r="A1122" s="174"/>
      <c r="B1122" s="175" t="str">
        <f>IF(LEN(A1122)=0,"",INDEX('Smelter Look-up'!$A:$A,MATCH($A1122,'Smelter Look-up'!$E:$E,0)))</f>
        <v/>
      </c>
      <c r="C1122" s="179" t="str">
        <f>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59"/>
        <v/>
      </c>
      <c r="T1122" s="174" t="str">
        <f ca="1">IF(B1122="","",IF(ISERROR(MATCH($J1122,SorP!$B$1:$B$6279,0)),"",INDIRECT("'SorP'!$A$"&amp;MATCH($S1122&amp;$J1122,SorP!C:C,0))))</f>
        <v/>
      </c>
      <c r="U1122" s="194"/>
      <c r="V1122" s="218" t="e">
        <f>IF(C1122="",NA(),IF(OR(C1122="Smelter not listed",C1122="Smelter not yet identified"),MATCH($B1122&amp;$D1122,'Smelter Look-up'!$J:$J,0),MATCH($B1122&amp;$C1122,'Smelter Look-up'!$J:$J,0)))</f>
        <v>#N/A</v>
      </c>
      <c r="X1122" s="219">
        <f t="shared" ca="1" si="160"/>
        <v>0</v>
      </c>
      <c r="AB1122" s="220" t="str">
        <f t="shared" si="161"/>
        <v/>
      </c>
    </row>
    <row r="1123" spans="1:28" s="219" customFormat="1" ht="20.25">
      <c r="A1123" s="174"/>
      <c r="B1123" s="175" t="str">
        <f>IF(LEN(A1123)=0,"",INDEX('Smelter Look-up'!$A:$A,MATCH($A1123,'Smelter Look-up'!$E:$E,0)))</f>
        <v/>
      </c>
      <c r="C1123" s="179" t="str">
        <f>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59"/>
        <v/>
      </c>
      <c r="T1123" s="174" t="str">
        <f ca="1">IF(B1123="","",IF(ISERROR(MATCH($J1123,SorP!$B$1:$B$6279,0)),"",INDIRECT("'SorP'!$A$"&amp;MATCH($S1123&amp;$J1123,SorP!C:C,0))))</f>
        <v/>
      </c>
      <c r="U1123" s="194"/>
      <c r="V1123" s="218" t="e">
        <f>IF(C1123="",NA(),IF(OR(C1123="Smelter not listed",C1123="Smelter not yet identified"),MATCH($B1123&amp;$D1123,'Smelter Look-up'!$J:$J,0),MATCH($B1123&amp;$C1123,'Smelter Look-up'!$J:$J,0)))</f>
        <v>#N/A</v>
      </c>
      <c r="X1123" s="219">
        <f t="shared" ca="1" si="160"/>
        <v>0</v>
      </c>
      <c r="AB1123" s="220" t="str">
        <f t="shared" si="161"/>
        <v/>
      </c>
    </row>
    <row r="1124" spans="1:28" s="219" customFormat="1" ht="20.25">
      <c r="A1124" s="174"/>
      <c r="B1124" s="175" t="str">
        <f>IF(LEN(A1124)=0,"",INDEX('Smelter Look-up'!$A:$A,MATCH($A1124,'Smelter Look-up'!$E:$E,0)))</f>
        <v/>
      </c>
      <c r="C1124" s="179" t="str">
        <f>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59"/>
        <v/>
      </c>
      <c r="T1124" s="174" t="str">
        <f ca="1">IF(B1124="","",IF(ISERROR(MATCH($J1124,SorP!$B$1:$B$6279,0)),"",INDIRECT("'SorP'!$A$"&amp;MATCH($S1124&amp;$J1124,SorP!C:C,0))))</f>
        <v/>
      </c>
      <c r="U1124" s="194"/>
      <c r="V1124" s="218" t="e">
        <f>IF(C1124="",NA(),IF(OR(C1124="Smelter not listed",C1124="Smelter not yet identified"),MATCH($B1124&amp;$D1124,'Smelter Look-up'!$J:$J,0),MATCH($B1124&amp;$C1124,'Smelter Look-up'!$J:$J,0)))</f>
        <v>#N/A</v>
      </c>
      <c r="X1124" s="219">
        <f t="shared" ca="1" si="160"/>
        <v>0</v>
      </c>
      <c r="AB1124" s="220" t="str">
        <f t="shared" si="161"/>
        <v/>
      </c>
    </row>
    <row r="1125" spans="1:28" s="219" customFormat="1" ht="20.25">
      <c r="A1125" s="174"/>
      <c r="B1125" s="175" t="str">
        <f>IF(LEN(A1125)=0,"",INDEX('Smelter Look-up'!$A:$A,MATCH($A1125,'Smelter Look-up'!$E:$E,0)))</f>
        <v/>
      </c>
      <c r="C1125" s="179" t="str">
        <f>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59"/>
        <v/>
      </c>
      <c r="T1125" s="174" t="str">
        <f ca="1">IF(B1125="","",IF(ISERROR(MATCH($J1125,SorP!$B$1:$B$6279,0)),"",INDIRECT("'SorP'!$A$"&amp;MATCH($S1125&amp;$J1125,SorP!C:C,0))))</f>
        <v/>
      </c>
      <c r="U1125" s="194"/>
      <c r="V1125" s="218" t="e">
        <f>IF(C1125="",NA(),IF(OR(C1125="Smelter not listed",C1125="Smelter not yet identified"),MATCH($B1125&amp;$D1125,'Smelter Look-up'!$J:$J,0),MATCH($B1125&amp;$C1125,'Smelter Look-up'!$J:$J,0)))</f>
        <v>#N/A</v>
      </c>
      <c r="X1125" s="219">
        <f t="shared" ca="1" si="160"/>
        <v>0</v>
      </c>
      <c r="AB1125" s="220" t="str">
        <f t="shared" si="161"/>
        <v/>
      </c>
    </row>
    <row r="1126" spans="1:28" s="219" customFormat="1" ht="20.25">
      <c r="A1126" s="174"/>
      <c r="B1126" s="175" t="str">
        <f>IF(LEN(A1126)=0,"",INDEX('Smelter Look-up'!$A:$A,MATCH($A1126,'Smelter Look-up'!$E:$E,0)))</f>
        <v/>
      </c>
      <c r="C1126" s="179" t="str">
        <f>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59"/>
        <v/>
      </c>
      <c r="T1126" s="174" t="str">
        <f ca="1">IF(B1126="","",IF(ISERROR(MATCH($J1126,SorP!$B$1:$B$6279,0)),"",INDIRECT("'SorP'!$A$"&amp;MATCH($S1126&amp;$J1126,SorP!C:C,0))))</f>
        <v/>
      </c>
      <c r="U1126" s="194"/>
      <c r="V1126" s="218" t="e">
        <f>IF(C1126="",NA(),IF(OR(C1126="Smelter not listed",C1126="Smelter not yet identified"),MATCH($B1126&amp;$D1126,'Smelter Look-up'!$J:$J,0),MATCH($B1126&amp;$C1126,'Smelter Look-up'!$J:$J,0)))</f>
        <v>#N/A</v>
      </c>
      <c r="X1126" s="219">
        <f t="shared" ca="1" si="160"/>
        <v>0</v>
      </c>
      <c r="AB1126" s="220" t="str">
        <f t="shared" si="161"/>
        <v/>
      </c>
    </row>
    <row r="1127" spans="1:28" s="219" customFormat="1" ht="20.25">
      <c r="A1127" s="174"/>
      <c r="B1127" s="175" t="str">
        <f>IF(LEN(A1127)=0,"",INDEX('Smelter Look-up'!$A:$A,MATCH($A1127,'Smelter Look-up'!$E:$E,0)))</f>
        <v/>
      </c>
      <c r="C1127" s="179" t="str">
        <f>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59"/>
        <v/>
      </c>
      <c r="T1127" s="174" t="str">
        <f ca="1">IF(B1127="","",IF(ISERROR(MATCH($J1127,SorP!$B$1:$B$6279,0)),"",INDIRECT("'SorP'!$A$"&amp;MATCH($S1127&amp;$J1127,SorP!C:C,0))))</f>
        <v/>
      </c>
      <c r="U1127" s="194"/>
      <c r="V1127" s="218" t="e">
        <f>IF(C1127="",NA(),IF(OR(C1127="Smelter not listed",C1127="Smelter not yet identified"),MATCH($B1127&amp;$D1127,'Smelter Look-up'!$J:$J,0),MATCH($B1127&amp;$C1127,'Smelter Look-up'!$J:$J,0)))</f>
        <v>#N/A</v>
      </c>
      <c r="X1127" s="219">
        <f t="shared" ca="1" si="160"/>
        <v>0</v>
      </c>
      <c r="AB1127" s="220" t="str">
        <f t="shared" si="161"/>
        <v/>
      </c>
    </row>
    <row r="1128" spans="1:28" s="219" customFormat="1" ht="20.25">
      <c r="A1128" s="174"/>
      <c r="B1128" s="175" t="str">
        <f>IF(LEN(A1128)=0,"",INDEX('Smelter Look-up'!$A:$A,MATCH($A1128,'Smelter Look-up'!$E:$E,0)))</f>
        <v/>
      </c>
      <c r="C1128" s="179" t="str">
        <f>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59"/>
        <v/>
      </c>
      <c r="T1128" s="174" t="str">
        <f ca="1">IF(B1128="","",IF(ISERROR(MATCH($J1128,SorP!$B$1:$B$6279,0)),"",INDIRECT("'SorP'!$A$"&amp;MATCH($S1128&amp;$J1128,SorP!C:C,0))))</f>
        <v/>
      </c>
      <c r="U1128" s="194"/>
      <c r="V1128" s="218" t="e">
        <f>IF(C1128="",NA(),IF(OR(C1128="Smelter not listed",C1128="Smelter not yet identified"),MATCH($B1128&amp;$D1128,'Smelter Look-up'!$J:$J,0),MATCH($B1128&amp;$C1128,'Smelter Look-up'!$J:$J,0)))</f>
        <v>#N/A</v>
      </c>
      <c r="X1128" s="219">
        <f t="shared" ca="1" si="160"/>
        <v>0</v>
      </c>
      <c r="AB1128" s="220" t="str">
        <f t="shared" si="161"/>
        <v/>
      </c>
    </row>
    <row r="1129" spans="1:28" s="219" customFormat="1" ht="20.25">
      <c r="A1129" s="174"/>
      <c r="B1129" s="175" t="str">
        <f>IF(LEN(A1129)=0,"",INDEX('Smelter Look-up'!$A:$A,MATCH($A1129,'Smelter Look-up'!$E:$E,0)))</f>
        <v/>
      </c>
      <c r="C1129" s="179" t="str">
        <f>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59"/>
        <v/>
      </c>
      <c r="T1129" s="174" t="str">
        <f ca="1">IF(B1129="","",IF(ISERROR(MATCH($J1129,SorP!$B$1:$B$6279,0)),"",INDIRECT("'SorP'!$A$"&amp;MATCH($S1129&amp;$J1129,SorP!C:C,0))))</f>
        <v/>
      </c>
      <c r="U1129" s="194"/>
      <c r="V1129" s="218" t="e">
        <f>IF(C1129="",NA(),IF(OR(C1129="Smelter not listed",C1129="Smelter not yet identified"),MATCH($B1129&amp;$D1129,'Smelter Look-up'!$J:$J,0),MATCH($B1129&amp;$C1129,'Smelter Look-up'!$J:$J,0)))</f>
        <v>#N/A</v>
      </c>
      <c r="X1129" s="219">
        <f t="shared" ca="1" si="160"/>
        <v>0</v>
      </c>
      <c r="AB1129" s="220" t="str">
        <f t="shared" si="161"/>
        <v/>
      </c>
    </row>
    <row r="1130" spans="1:28" s="219" customFormat="1" ht="20.25">
      <c r="A1130" s="174"/>
      <c r="B1130" s="175" t="str">
        <f>IF(LEN(A1130)=0,"",INDEX('Smelter Look-up'!$A:$A,MATCH($A1130,'Smelter Look-up'!$E:$E,0)))</f>
        <v/>
      </c>
      <c r="C1130" s="179" t="str">
        <f>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59"/>
        <v/>
      </c>
      <c r="T1130" s="174" t="str">
        <f ca="1">IF(B1130="","",IF(ISERROR(MATCH($J1130,SorP!$B$1:$B$6279,0)),"",INDIRECT("'SorP'!$A$"&amp;MATCH($S1130&amp;$J1130,SorP!C:C,0))))</f>
        <v/>
      </c>
      <c r="U1130" s="194"/>
      <c r="V1130" s="218" t="e">
        <f>IF(C1130="",NA(),IF(OR(C1130="Smelter not listed",C1130="Smelter not yet identified"),MATCH($B1130&amp;$D1130,'Smelter Look-up'!$J:$J,0),MATCH($B1130&amp;$C1130,'Smelter Look-up'!$J:$J,0)))</f>
        <v>#N/A</v>
      </c>
      <c r="X1130" s="219">
        <f t="shared" ca="1" si="160"/>
        <v>0</v>
      </c>
      <c r="AB1130" s="220" t="str">
        <f t="shared" si="161"/>
        <v/>
      </c>
    </row>
    <row r="1131" spans="1:28" s="219" customFormat="1" ht="20.25">
      <c r="A1131" s="174"/>
      <c r="B1131" s="175" t="str">
        <f>IF(LEN(A1131)=0,"",INDEX('Smelter Look-up'!$A:$A,MATCH($A1131,'Smelter Look-up'!$E:$E,0)))</f>
        <v/>
      </c>
      <c r="C1131" s="179" t="str">
        <f>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59"/>
        <v/>
      </c>
      <c r="T1131" s="174" t="str">
        <f ca="1">IF(B1131="","",IF(ISERROR(MATCH($J1131,SorP!$B$1:$B$6279,0)),"",INDIRECT("'SorP'!$A$"&amp;MATCH($S1131&amp;$J1131,SorP!C:C,0))))</f>
        <v/>
      </c>
      <c r="U1131" s="194"/>
      <c r="V1131" s="218" t="e">
        <f>IF(C1131="",NA(),IF(OR(C1131="Smelter not listed",C1131="Smelter not yet identified"),MATCH($B1131&amp;$D1131,'Smelter Look-up'!$J:$J,0),MATCH($B1131&amp;$C1131,'Smelter Look-up'!$J:$J,0)))</f>
        <v>#N/A</v>
      </c>
      <c r="X1131" s="219">
        <f t="shared" ca="1" si="160"/>
        <v>0</v>
      </c>
      <c r="AB1131" s="220" t="str">
        <f t="shared" si="161"/>
        <v/>
      </c>
    </row>
    <row r="1132" spans="1:28" s="219" customFormat="1" ht="20.25">
      <c r="A1132" s="174"/>
      <c r="B1132" s="175" t="str">
        <f>IF(LEN(A1132)=0,"",INDEX('Smelter Look-up'!$A:$A,MATCH($A1132,'Smelter Look-up'!$E:$E,0)))</f>
        <v/>
      </c>
      <c r="C1132" s="179" t="str">
        <f>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59"/>
        <v/>
      </c>
      <c r="T1132" s="174" t="str">
        <f ca="1">IF(B1132="","",IF(ISERROR(MATCH($J1132,SorP!$B$1:$B$6279,0)),"",INDIRECT("'SorP'!$A$"&amp;MATCH($S1132&amp;$J1132,SorP!C:C,0))))</f>
        <v/>
      </c>
      <c r="U1132" s="194"/>
      <c r="V1132" s="218" t="e">
        <f>IF(C1132="",NA(),IF(OR(C1132="Smelter not listed",C1132="Smelter not yet identified"),MATCH($B1132&amp;$D1132,'Smelter Look-up'!$J:$J,0),MATCH($B1132&amp;$C1132,'Smelter Look-up'!$J:$J,0)))</f>
        <v>#N/A</v>
      </c>
      <c r="X1132" s="219">
        <f t="shared" ca="1" si="160"/>
        <v>0</v>
      </c>
      <c r="AB1132" s="220" t="str">
        <f t="shared" si="161"/>
        <v/>
      </c>
    </row>
    <row r="1133" spans="1:28" s="219" customFormat="1" ht="20.25">
      <c r="A1133" s="174"/>
      <c r="B1133" s="175" t="str">
        <f>IF(LEN(A1133)=0,"",INDEX('Smelter Look-up'!$A:$A,MATCH($A1133,'Smelter Look-up'!$E:$E,0)))</f>
        <v/>
      </c>
      <c r="C1133" s="179" t="str">
        <f>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59"/>
        <v/>
      </c>
      <c r="T1133" s="174" t="str">
        <f ca="1">IF(B1133="","",IF(ISERROR(MATCH($J1133,SorP!$B$1:$B$6279,0)),"",INDIRECT("'SorP'!$A$"&amp;MATCH($S1133&amp;$J1133,SorP!C:C,0))))</f>
        <v/>
      </c>
      <c r="U1133" s="194"/>
      <c r="V1133" s="218" t="e">
        <f>IF(C1133="",NA(),IF(OR(C1133="Smelter not listed",C1133="Smelter not yet identified"),MATCH($B1133&amp;$D1133,'Smelter Look-up'!$J:$J,0),MATCH($B1133&amp;$C1133,'Smelter Look-up'!$J:$J,0)))</f>
        <v>#N/A</v>
      </c>
      <c r="X1133" s="219">
        <f t="shared" ca="1" si="160"/>
        <v>0</v>
      </c>
      <c r="AB1133" s="220" t="str">
        <f t="shared" si="161"/>
        <v/>
      </c>
    </row>
    <row r="1134" spans="1:28" s="219" customFormat="1" ht="20.25">
      <c r="A1134" s="174"/>
      <c r="B1134" s="175" t="str">
        <f>IF(LEN(A1134)=0,"",INDEX('Smelter Look-up'!$A:$A,MATCH($A1134,'Smelter Look-up'!$E:$E,0)))</f>
        <v/>
      </c>
      <c r="C1134" s="179" t="str">
        <f>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59"/>
        <v/>
      </c>
      <c r="T1134" s="174" t="str">
        <f ca="1">IF(B1134="","",IF(ISERROR(MATCH($J1134,SorP!$B$1:$B$6279,0)),"",INDIRECT("'SorP'!$A$"&amp;MATCH($S1134&amp;$J1134,SorP!C:C,0))))</f>
        <v/>
      </c>
      <c r="U1134" s="194"/>
      <c r="V1134" s="218" t="e">
        <f>IF(C1134="",NA(),IF(OR(C1134="Smelter not listed",C1134="Smelter not yet identified"),MATCH($B1134&amp;$D1134,'Smelter Look-up'!$J:$J,0),MATCH($B1134&amp;$C1134,'Smelter Look-up'!$J:$J,0)))</f>
        <v>#N/A</v>
      </c>
      <c r="X1134" s="219">
        <f t="shared" ca="1" si="160"/>
        <v>0</v>
      </c>
      <c r="AB1134" s="220" t="str">
        <f t="shared" si="161"/>
        <v/>
      </c>
    </row>
    <row r="1135" spans="1:28" s="219" customFormat="1" ht="20.25">
      <c r="A1135" s="174"/>
      <c r="B1135" s="175" t="str">
        <f>IF(LEN(A1135)=0,"",INDEX('Smelter Look-up'!$A:$A,MATCH($A1135,'Smelter Look-up'!$E:$E,0)))</f>
        <v/>
      </c>
      <c r="C1135" s="179" t="str">
        <f>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59"/>
        <v/>
      </c>
      <c r="T1135" s="174" t="str">
        <f ca="1">IF(B1135="","",IF(ISERROR(MATCH($J1135,SorP!$B$1:$B$6279,0)),"",INDIRECT("'SorP'!$A$"&amp;MATCH($S1135&amp;$J1135,SorP!C:C,0))))</f>
        <v/>
      </c>
      <c r="U1135" s="194"/>
      <c r="V1135" s="218" t="e">
        <f>IF(C1135="",NA(),IF(OR(C1135="Smelter not listed",C1135="Smelter not yet identified"),MATCH($B1135&amp;$D1135,'Smelter Look-up'!$J:$J,0),MATCH($B1135&amp;$C1135,'Smelter Look-up'!$J:$J,0)))</f>
        <v>#N/A</v>
      </c>
      <c r="X1135" s="219">
        <f t="shared" ca="1" si="160"/>
        <v>0</v>
      </c>
      <c r="AB1135" s="220" t="str">
        <f t="shared" si="161"/>
        <v/>
      </c>
    </row>
    <row r="1136" spans="1:28" s="219" customFormat="1" ht="20.25">
      <c r="A1136" s="174"/>
      <c r="B1136" s="175" t="str">
        <f>IF(LEN(A1136)=0,"",INDEX('Smelter Look-up'!$A:$A,MATCH($A1136,'Smelter Look-up'!$E:$E,0)))</f>
        <v/>
      </c>
      <c r="C1136" s="179" t="str">
        <f>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59"/>
        <v/>
      </c>
      <c r="T1136" s="174" t="str">
        <f ca="1">IF(B1136="","",IF(ISERROR(MATCH($J1136,SorP!$B$1:$B$6279,0)),"",INDIRECT("'SorP'!$A$"&amp;MATCH($S1136&amp;$J1136,SorP!C:C,0))))</f>
        <v/>
      </c>
      <c r="U1136" s="194"/>
      <c r="V1136" s="218" t="e">
        <f>IF(C1136="",NA(),IF(OR(C1136="Smelter not listed",C1136="Smelter not yet identified"),MATCH($B1136&amp;$D1136,'Smelter Look-up'!$J:$J,0),MATCH($B1136&amp;$C1136,'Smelter Look-up'!$J:$J,0)))</f>
        <v>#N/A</v>
      </c>
      <c r="X1136" s="219">
        <f t="shared" ca="1" si="160"/>
        <v>0</v>
      </c>
      <c r="AB1136" s="220" t="str">
        <f t="shared" si="161"/>
        <v/>
      </c>
    </row>
    <row r="1137" spans="1:28" s="219" customFormat="1" ht="20.25">
      <c r="A1137" s="174"/>
      <c r="B1137" s="175" t="str">
        <f>IF(LEN(A1137)=0,"",INDEX('Smelter Look-up'!$A:$A,MATCH($A1137,'Smelter Look-up'!$E:$E,0)))</f>
        <v/>
      </c>
      <c r="C1137" s="179" t="str">
        <f>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59"/>
        <v/>
      </c>
      <c r="T1137" s="174" t="str">
        <f ca="1">IF(B1137="","",IF(ISERROR(MATCH($J1137,SorP!$B$1:$B$6279,0)),"",INDIRECT("'SorP'!$A$"&amp;MATCH($S1137&amp;$J1137,SorP!C:C,0))))</f>
        <v/>
      </c>
      <c r="U1137" s="194"/>
      <c r="V1137" s="218" t="e">
        <f>IF(C1137="",NA(),IF(OR(C1137="Smelter not listed",C1137="Smelter not yet identified"),MATCH($B1137&amp;$D1137,'Smelter Look-up'!$J:$J,0),MATCH($B1137&amp;$C1137,'Smelter Look-up'!$J:$J,0)))</f>
        <v>#N/A</v>
      </c>
      <c r="X1137" s="219">
        <f t="shared" ca="1" si="160"/>
        <v>0</v>
      </c>
      <c r="AB1137" s="220" t="str">
        <f t="shared" si="161"/>
        <v/>
      </c>
    </row>
    <row r="1138" spans="1:28" s="219" customFormat="1" ht="20.25">
      <c r="A1138" s="174"/>
      <c r="B1138" s="175" t="str">
        <f>IF(LEN(A1138)=0,"",INDEX('Smelter Look-up'!$A:$A,MATCH($A1138,'Smelter Look-up'!$E:$E,0)))</f>
        <v/>
      </c>
      <c r="C1138" s="179" t="str">
        <f>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59"/>
        <v/>
      </c>
      <c r="T1138" s="174" t="str">
        <f ca="1">IF(B1138="","",IF(ISERROR(MATCH($J1138,SorP!$B$1:$B$6279,0)),"",INDIRECT("'SorP'!$A$"&amp;MATCH($S1138&amp;$J1138,SorP!C:C,0))))</f>
        <v/>
      </c>
      <c r="U1138" s="194"/>
      <c r="V1138" s="218" t="e">
        <f>IF(C1138="",NA(),IF(OR(C1138="Smelter not listed",C1138="Smelter not yet identified"),MATCH($B1138&amp;$D1138,'Smelter Look-up'!$J:$J,0),MATCH($B1138&amp;$C1138,'Smelter Look-up'!$J:$J,0)))</f>
        <v>#N/A</v>
      </c>
      <c r="X1138" s="219">
        <f t="shared" ca="1" si="160"/>
        <v>0</v>
      </c>
      <c r="AB1138" s="220" t="str">
        <f t="shared" si="161"/>
        <v/>
      </c>
    </row>
    <row r="1139" spans="1:28" s="219" customFormat="1" ht="20.25">
      <c r="A1139" s="174"/>
      <c r="B1139" s="175" t="str">
        <f>IF(LEN(A1139)=0,"",INDEX('Smelter Look-up'!$A:$A,MATCH($A1139,'Smelter Look-up'!$E:$E,0)))</f>
        <v/>
      </c>
      <c r="C1139" s="179" t="str">
        <f>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59"/>
        <v/>
      </c>
      <c r="T1139" s="174" t="str">
        <f ca="1">IF(B1139="","",IF(ISERROR(MATCH($J1139,SorP!$B$1:$B$6279,0)),"",INDIRECT("'SorP'!$A$"&amp;MATCH($S1139&amp;$J1139,SorP!C:C,0))))</f>
        <v/>
      </c>
      <c r="U1139" s="194"/>
      <c r="V1139" s="218" t="e">
        <f>IF(C1139="",NA(),IF(OR(C1139="Smelter not listed",C1139="Smelter not yet identified"),MATCH($B1139&amp;$D1139,'Smelter Look-up'!$J:$J,0),MATCH($B1139&amp;$C1139,'Smelter Look-up'!$J:$J,0)))</f>
        <v>#N/A</v>
      </c>
      <c r="X1139" s="219">
        <f t="shared" ca="1" si="160"/>
        <v>0</v>
      </c>
      <c r="AB1139" s="220" t="str">
        <f t="shared" si="161"/>
        <v/>
      </c>
    </row>
    <row r="1140" spans="1:28" s="219" customFormat="1" ht="20.25">
      <c r="A1140" s="174"/>
      <c r="B1140" s="175" t="str">
        <f>IF(LEN(A1140)=0,"",INDEX('Smelter Look-up'!$A:$A,MATCH($A1140,'Smelter Look-up'!$E:$E,0)))</f>
        <v/>
      </c>
      <c r="C1140" s="179" t="str">
        <f>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59"/>
        <v/>
      </c>
      <c r="T1140" s="174" t="str">
        <f ca="1">IF(B1140="","",IF(ISERROR(MATCH($J1140,SorP!$B$1:$B$6279,0)),"",INDIRECT("'SorP'!$A$"&amp;MATCH($S1140&amp;$J1140,SorP!C:C,0))))</f>
        <v/>
      </c>
      <c r="U1140" s="194"/>
      <c r="V1140" s="218" t="e">
        <f>IF(C1140="",NA(),IF(OR(C1140="Smelter not listed",C1140="Smelter not yet identified"),MATCH($B1140&amp;$D1140,'Smelter Look-up'!$J:$J,0),MATCH($B1140&amp;$C1140,'Smelter Look-up'!$J:$J,0)))</f>
        <v>#N/A</v>
      </c>
      <c r="X1140" s="219">
        <f t="shared" ca="1" si="160"/>
        <v>0</v>
      </c>
      <c r="AB1140" s="220" t="str">
        <f t="shared" si="161"/>
        <v/>
      </c>
    </row>
    <row r="1141" spans="1:28" s="219" customFormat="1" ht="20.25">
      <c r="A1141" s="174"/>
      <c r="B1141" s="175" t="str">
        <f>IF(LEN(A1141)=0,"",INDEX('Smelter Look-up'!$A:$A,MATCH($A1141,'Smelter Look-up'!$E:$E,0)))</f>
        <v/>
      </c>
      <c r="C1141" s="179" t="str">
        <f>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59"/>
        <v/>
      </c>
      <c r="T1141" s="174" t="str">
        <f ca="1">IF(B1141="","",IF(ISERROR(MATCH($J1141,SorP!$B$1:$B$6279,0)),"",INDIRECT("'SorP'!$A$"&amp;MATCH($S1141&amp;$J1141,SorP!C:C,0))))</f>
        <v/>
      </c>
      <c r="U1141" s="194"/>
      <c r="V1141" s="218" t="e">
        <f>IF(C1141="",NA(),IF(OR(C1141="Smelter not listed",C1141="Smelter not yet identified"),MATCH($B1141&amp;$D1141,'Smelter Look-up'!$J:$J,0),MATCH($B1141&amp;$C1141,'Smelter Look-up'!$J:$J,0)))</f>
        <v>#N/A</v>
      </c>
      <c r="X1141" s="219">
        <f t="shared" ca="1" si="160"/>
        <v>0</v>
      </c>
      <c r="AB1141" s="220" t="str">
        <f t="shared" si="161"/>
        <v/>
      </c>
    </row>
    <row r="1142" spans="1:28" s="219" customFormat="1" ht="20.25">
      <c r="A1142" s="174"/>
      <c r="B1142" s="175" t="str">
        <f>IF(LEN(A1142)=0,"",INDEX('Smelter Look-up'!$A:$A,MATCH($A1142,'Smelter Look-up'!$E:$E,0)))</f>
        <v/>
      </c>
      <c r="C1142" s="179" t="str">
        <f>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59"/>
        <v/>
      </c>
      <c r="T1142" s="174" t="str">
        <f ca="1">IF(B1142="","",IF(ISERROR(MATCH($J1142,SorP!$B$1:$B$6279,0)),"",INDIRECT("'SorP'!$A$"&amp;MATCH($S1142&amp;$J1142,SorP!C:C,0))))</f>
        <v/>
      </c>
      <c r="U1142" s="194"/>
      <c r="V1142" s="218" t="e">
        <f>IF(C1142="",NA(),IF(OR(C1142="Smelter not listed",C1142="Smelter not yet identified"),MATCH($B1142&amp;$D1142,'Smelter Look-up'!$J:$J,0),MATCH($B1142&amp;$C1142,'Smelter Look-up'!$J:$J,0)))</f>
        <v>#N/A</v>
      </c>
      <c r="X1142" s="219">
        <f t="shared" ca="1" si="160"/>
        <v>0</v>
      </c>
      <c r="AB1142" s="220" t="str">
        <f t="shared" si="161"/>
        <v/>
      </c>
    </row>
    <row r="1143" spans="1:28" s="219" customFormat="1" ht="20.25">
      <c r="A1143" s="174"/>
      <c r="B1143" s="175" t="str">
        <f>IF(LEN(A1143)=0,"",INDEX('Smelter Look-up'!$A:$A,MATCH($A1143,'Smelter Look-up'!$E:$E,0)))</f>
        <v/>
      </c>
      <c r="C1143" s="179" t="str">
        <f>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59"/>
        <v/>
      </c>
      <c r="T1143" s="174" t="str">
        <f ca="1">IF(B1143="","",IF(ISERROR(MATCH($J1143,SorP!$B$1:$B$6279,0)),"",INDIRECT("'SorP'!$A$"&amp;MATCH($S1143&amp;$J1143,SorP!C:C,0))))</f>
        <v/>
      </c>
      <c r="U1143" s="194"/>
      <c r="V1143" s="218" t="e">
        <f>IF(C1143="",NA(),IF(OR(C1143="Smelter not listed",C1143="Smelter not yet identified"),MATCH($B1143&amp;$D1143,'Smelter Look-up'!$J:$J,0),MATCH($B1143&amp;$C1143,'Smelter Look-up'!$J:$J,0)))</f>
        <v>#N/A</v>
      </c>
      <c r="X1143" s="219">
        <f t="shared" ca="1" si="160"/>
        <v>0</v>
      </c>
      <c r="AB1143" s="220" t="str">
        <f t="shared" si="161"/>
        <v/>
      </c>
    </row>
    <row r="1144" spans="1:28" s="219" customFormat="1" ht="20.25">
      <c r="A1144" s="174"/>
      <c r="B1144" s="175" t="str">
        <f>IF(LEN(A1144)=0,"",INDEX('Smelter Look-up'!$A:$A,MATCH($A1144,'Smelter Look-up'!$E:$E,0)))</f>
        <v/>
      </c>
      <c r="C1144" s="179" t="str">
        <f>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59"/>
        <v/>
      </c>
      <c r="T1144" s="174" t="str">
        <f ca="1">IF(B1144="","",IF(ISERROR(MATCH($J1144,SorP!$B$1:$B$6279,0)),"",INDIRECT("'SorP'!$A$"&amp;MATCH($S1144&amp;$J1144,SorP!C:C,0))))</f>
        <v/>
      </c>
      <c r="U1144" s="194"/>
      <c r="V1144" s="218" t="e">
        <f>IF(C1144="",NA(),IF(OR(C1144="Smelter not listed",C1144="Smelter not yet identified"),MATCH($B1144&amp;$D1144,'Smelter Look-up'!$J:$J,0),MATCH($B1144&amp;$C1144,'Smelter Look-up'!$J:$J,0)))</f>
        <v>#N/A</v>
      </c>
      <c r="X1144" s="219">
        <f t="shared" ca="1" si="160"/>
        <v>0</v>
      </c>
      <c r="AB1144" s="220" t="str">
        <f t="shared" si="161"/>
        <v/>
      </c>
    </row>
    <row r="1145" spans="1:28" s="219" customFormat="1" ht="20.25">
      <c r="A1145" s="174"/>
      <c r="B1145" s="175" t="str">
        <f>IF(LEN(A1145)=0,"",INDEX('Smelter Look-up'!$A:$A,MATCH($A1145,'Smelter Look-up'!$E:$E,0)))</f>
        <v/>
      </c>
      <c r="C1145" s="179" t="str">
        <f>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159"/>
        <v/>
      </c>
      <c r="T1145" s="174" t="str">
        <f ca="1">IF(B1145="","",IF(ISERROR(MATCH($J1145,SorP!$B$1:$B$6279,0)),"",INDIRECT("'SorP'!$A$"&amp;MATCH($S1145&amp;$J1145,SorP!C:C,0))))</f>
        <v/>
      </c>
      <c r="U1145" s="194"/>
      <c r="V1145" s="218" t="e">
        <f>IF(C1145="",NA(),IF(OR(C1145="Smelter not listed",C1145="Smelter not yet identified"),MATCH($B1145&amp;$D1145,'Smelter Look-up'!$J:$J,0),MATCH($B1145&amp;$C1145,'Smelter Look-up'!$J:$J,0)))</f>
        <v>#N/A</v>
      </c>
      <c r="X1145" s="219">
        <f t="shared" ca="1" si="160"/>
        <v>0</v>
      </c>
      <c r="AB1145" s="220" t="str">
        <f t="shared" si="161"/>
        <v/>
      </c>
    </row>
    <row r="1146" spans="1:28" s="219" customFormat="1" ht="20.25">
      <c r="A1146" s="174"/>
      <c r="B1146" s="175" t="str">
        <f>IF(LEN(A1146)=0,"",INDEX('Smelter Look-up'!$A:$A,MATCH($A1146,'Smelter Look-up'!$E:$E,0)))</f>
        <v/>
      </c>
      <c r="C1146" s="179" t="str">
        <f>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ca="1" si="159"/>
        <v/>
      </c>
      <c r="T1146" s="174" t="str">
        <f ca="1">IF(B1146="","",IF(ISERROR(MATCH($J1146,SorP!$B$1:$B$6279,0)),"",INDIRECT("'SorP'!$A$"&amp;MATCH($S1146&amp;$J1146,SorP!C:C,0))))</f>
        <v/>
      </c>
      <c r="U1146" s="194"/>
      <c r="V1146" s="218" t="e">
        <f>IF(C1146="",NA(),IF(OR(C1146="Smelter not listed",C1146="Smelter not yet identified"),MATCH($B1146&amp;$D1146,'Smelter Look-up'!$J:$J,0),MATCH($B1146&amp;$C1146,'Smelter Look-up'!$J:$J,0)))</f>
        <v>#N/A</v>
      </c>
      <c r="X1146" s="219">
        <f t="shared" ca="1" si="160"/>
        <v>0</v>
      </c>
      <c r="AB1146" s="220" t="str">
        <f t="shared" si="161"/>
        <v/>
      </c>
    </row>
    <row r="1147" spans="1:28" s="219" customFormat="1" ht="20.25">
      <c r="A1147" s="174"/>
      <c r="B1147" s="175" t="str">
        <f>IF(LEN(A1147)=0,"",INDEX('Smelter Look-up'!$A:$A,MATCH($A1147,'Smelter Look-up'!$E:$E,0)))</f>
        <v/>
      </c>
      <c r="C1147" s="179" t="str">
        <f>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ref="S1147" ca="1" si="162">IF(B1147="","",IF(ISERROR(MATCH($E1147,CL,0)),"Unknown",INDIRECT("'C'!$A$"&amp;MATCH($E1147,CL,0)+1)))</f>
        <v/>
      </c>
      <c r="T1147" s="174" t="str">
        <f ca="1">IF(B1147="","",IF(ISERROR(MATCH($J1147,SorP!$B$1:$B$6279,0)),"",INDIRECT("'SorP'!$A$"&amp;MATCH($S1147&amp;$J1147,SorP!C:C,0))))</f>
        <v/>
      </c>
      <c r="U1147" s="194"/>
      <c r="V1147" s="218" t="e">
        <f>IF(C1147="",NA(),IF(OR(C1147="Smelter not listed",C1147="Smelter not yet identified"),MATCH($B1147&amp;$D1147,'Smelter Look-up'!$J:$J,0),MATCH($B1147&amp;$C1147,'Smelter Look-up'!$J:$J,0)))</f>
        <v>#N/A</v>
      </c>
      <c r="X1147" s="219">
        <f t="shared" ref="X1147" ca="1" si="163">IF(AND(C1147="Smelter not listed",OR(LEN(D1147)=0,LEN(E1147)=0)),1,0)</f>
        <v>0</v>
      </c>
      <c r="AB1147" s="220" t="str">
        <f t="shared" ref="AB1147" si="164">B1147&amp;C1147</f>
        <v/>
      </c>
    </row>
    <row r="1148" spans="1:28" s="219" customFormat="1" ht="20.25">
      <c r="A1148" s="174"/>
      <c r="B1148" s="175" t="str">
        <f>IF(LEN(A1148)=0,"",INDEX('Smelter Look-up'!$A:$A,MATCH($A1148,'Smelter Look-up'!$E:$E,0)))</f>
        <v/>
      </c>
      <c r="C1148" s="179" t="str">
        <f>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ref="S1148:S1179" ca="1" si="165">IF(B1148="","",IF(ISERROR(MATCH($E1148,CL,0)),"Unknown",INDIRECT("'C'!$A$"&amp;MATCH($E1148,CL,0)+1)))</f>
        <v/>
      </c>
      <c r="T1148" s="174" t="str">
        <f ca="1">IF(B1148="","",IF(ISERROR(MATCH($J1148,SorP!$B$1:$B$6279,0)),"",INDIRECT("'SorP'!$A$"&amp;MATCH($S1148&amp;$J1148,SorP!C:C,0))))</f>
        <v/>
      </c>
      <c r="U1148" s="194"/>
      <c r="V1148" s="218" t="e">
        <f>IF(C1148="",NA(),IF(OR(C1148="Smelter not listed",C1148="Smelter not yet identified"),MATCH($B1148&amp;$D1148,'Smelter Look-up'!$J:$J,0),MATCH($B1148&amp;$C1148,'Smelter Look-up'!$J:$J,0)))</f>
        <v>#N/A</v>
      </c>
      <c r="X1148" s="219">
        <f t="shared" ref="X1148:X1179" ca="1" si="166">IF(AND(C1148="Smelter not listed",OR(LEN(D1148)=0,LEN(E1148)=0)),1,0)</f>
        <v>0</v>
      </c>
      <c r="AB1148" s="220" t="str">
        <f t="shared" ref="AB1148:AB1179" si="167">B1148&amp;C1148</f>
        <v/>
      </c>
    </row>
    <row r="1149" spans="1:28" s="219" customFormat="1" ht="20.25">
      <c r="A1149" s="174"/>
      <c r="B1149" s="175" t="str">
        <f>IF(LEN(A1149)=0,"",INDEX('Smelter Look-up'!$A:$A,MATCH($A1149,'Smelter Look-up'!$E:$E,0)))</f>
        <v/>
      </c>
      <c r="C1149" s="179" t="str">
        <f>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65"/>
        <v/>
      </c>
      <c r="T1149" s="174" t="str">
        <f ca="1">IF(B1149="","",IF(ISERROR(MATCH($J1149,SorP!$B$1:$B$6279,0)),"",INDIRECT("'SorP'!$A$"&amp;MATCH($S1149&amp;$J1149,SorP!C:C,0))))</f>
        <v/>
      </c>
      <c r="U1149" s="194"/>
      <c r="V1149" s="218" t="e">
        <f>IF(C1149="",NA(),IF(OR(C1149="Smelter not listed",C1149="Smelter not yet identified"),MATCH($B1149&amp;$D1149,'Smelter Look-up'!$J:$J,0),MATCH($B1149&amp;$C1149,'Smelter Look-up'!$J:$J,0)))</f>
        <v>#N/A</v>
      </c>
      <c r="X1149" s="219">
        <f t="shared" ca="1" si="166"/>
        <v>0</v>
      </c>
      <c r="AB1149" s="220" t="str">
        <f t="shared" si="167"/>
        <v/>
      </c>
    </row>
    <row r="1150" spans="1:28" s="219" customFormat="1" ht="20.25">
      <c r="A1150" s="174"/>
      <c r="B1150" s="175" t="str">
        <f>IF(LEN(A1150)=0,"",INDEX('Smelter Look-up'!$A:$A,MATCH($A1150,'Smelter Look-up'!$E:$E,0)))</f>
        <v/>
      </c>
      <c r="C1150" s="179" t="str">
        <f>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65"/>
        <v/>
      </c>
      <c r="T1150" s="174" t="str">
        <f ca="1">IF(B1150="","",IF(ISERROR(MATCH($J1150,SorP!$B$1:$B$6279,0)),"",INDIRECT("'SorP'!$A$"&amp;MATCH($S1150&amp;$J1150,SorP!C:C,0))))</f>
        <v/>
      </c>
      <c r="U1150" s="194"/>
      <c r="V1150" s="218" t="e">
        <f>IF(C1150="",NA(),IF(OR(C1150="Smelter not listed",C1150="Smelter not yet identified"),MATCH($B1150&amp;$D1150,'Smelter Look-up'!$J:$J,0),MATCH($B1150&amp;$C1150,'Smelter Look-up'!$J:$J,0)))</f>
        <v>#N/A</v>
      </c>
      <c r="X1150" s="219">
        <f t="shared" ca="1" si="166"/>
        <v>0</v>
      </c>
      <c r="AB1150" s="220" t="str">
        <f t="shared" si="167"/>
        <v/>
      </c>
    </row>
    <row r="1151" spans="1:28" s="219" customFormat="1" ht="20.25">
      <c r="A1151" s="174"/>
      <c r="B1151" s="175" t="str">
        <f>IF(LEN(A1151)=0,"",INDEX('Smelter Look-up'!$A:$A,MATCH($A1151,'Smelter Look-up'!$E:$E,0)))</f>
        <v/>
      </c>
      <c r="C1151" s="179" t="str">
        <f>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65"/>
        <v/>
      </c>
      <c r="T1151" s="174" t="str">
        <f ca="1">IF(B1151="","",IF(ISERROR(MATCH($J1151,SorP!$B$1:$B$6279,0)),"",INDIRECT("'SorP'!$A$"&amp;MATCH($S1151&amp;$J1151,SorP!C:C,0))))</f>
        <v/>
      </c>
      <c r="U1151" s="194"/>
      <c r="V1151" s="218" t="e">
        <f>IF(C1151="",NA(),IF(OR(C1151="Smelter not listed",C1151="Smelter not yet identified"),MATCH($B1151&amp;$D1151,'Smelter Look-up'!$J:$J,0),MATCH($B1151&amp;$C1151,'Smelter Look-up'!$J:$J,0)))</f>
        <v>#N/A</v>
      </c>
      <c r="X1151" s="219">
        <f t="shared" ca="1" si="166"/>
        <v>0</v>
      </c>
      <c r="AB1151" s="220" t="str">
        <f t="shared" si="167"/>
        <v/>
      </c>
    </row>
    <row r="1152" spans="1:28" s="219" customFormat="1" ht="20.25">
      <c r="A1152" s="174"/>
      <c r="B1152" s="175" t="str">
        <f>IF(LEN(A1152)=0,"",INDEX('Smelter Look-up'!$A:$A,MATCH($A1152,'Smelter Look-up'!$E:$E,0)))</f>
        <v/>
      </c>
      <c r="C1152" s="179" t="str">
        <f>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65"/>
        <v/>
      </c>
      <c r="T1152" s="174" t="str">
        <f ca="1">IF(B1152="","",IF(ISERROR(MATCH($J1152,SorP!$B$1:$B$6279,0)),"",INDIRECT("'SorP'!$A$"&amp;MATCH($S1152&amp;$J1152,SorP!C:C,0))))</f>
        <v/>
      </c>
      <c r="U1152" s="194"/>
      <c r="V1152" s="218" t="e">
        <f>IF(C1152="",NA(),IF(OR(C1152="Smelter not listed",C1152="Smelter not yet identified"),MATCH($B1152&amp;$D1152,'Smelter Look-up'!$J:$J,0),MATCH($B1152&amp;$C1152,'Smelter Look-up'!$J:$J,0)))</f>
        <v>#N/A</v>
      </c>
      <c r="X1152" s="219">
        <f t="shared" ca="1" si="166"/>
        <v>0</v>
      </c>
      <c r="AB1152" s="220" t="str">
        <f t="shared" si="167"/>
        <v/>
      </c>
    </row>
    <row r="1153" spans="1:28" s="219" customFormat="1" ht="20.25">
      <c r="A1153" s="174"/>
      <c r="B1153" s="175" t="str">
        <f>IF(LEN(A1153)=0,"",INDEX('Smelter Look-up'!$A:$A,MATCH($A1153,'Smelter Look-up'!$E:$E,0)))</f>
        <v/>
      </c>
      <c r="C1153" s="179" t="str">
        <f>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65"/>
        <v/>
      </c>
      <c r="T1153" s="174" t="str">
        <f ca="1">IF(B1153="","",IF(ISERROR(MATCH($J1153,SorP!$B$1:$B$6279,0)),"",INDIRECT("'SorP'!$A$"&amp;MATCH($S1153&amp;$J1153,SorP!C:C,0))))</f>
        <v/>
      </c>
      <c r="U1153" s="194"/>
      <c r="V1153" s="218" t="e">
        <f>IF(C1153="",NA(),IF(OR(C1153="Smelter not listed",C1153="Smelter not yet identified"),MATCH($B1153&amp;$D1153,'Smelter Look-up'!$J:$J,0),MATCH($B1153&amp;$C1153,'Smelter Look-up'!$J:$J,0)))</f>
        <v>#N/A</v>
      </c>
      <c r="X1153" s="219">
        <f t="shared" ca="1" si="166"/>
        <v>0</v>
      </c>
      <c r="AB1153" s="220" t="str">
        <f t="shared" si="167"/>
        <v/>
      </c>
    </row>
    <row r="1154" spans="1:28" s="219" customFormat="1" ht="20.25">
      <c r="A1154" s="174"/>
      <c r="B1154" s="175" t="str">
        <f>IF(LEN(A1154)=0,"",INDEX('Smelter Look-up'!$A:$A,MATCH($A1154,'Smelter Look-up'!$E:$E,0)))</f>
        <v/>
      </c>
      <c r="C1154" s="179" t="str">
        <f>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65"/>
        <v/>
      </c>
      <c r="T1154" s="174" t="str">
        <f ca="1">IF(B1154="","",IF(ISERROR(MATCH($J1154,SorP!$B$1:$B$6279,0)),"",INDIRECT("'SorP'!$A$"&amp;MATCH($S1154&amp;$J1154,SorP!C:C,0))))</f>
        <v/>
      </c>
      <c r="U1154" s="194"/>
      <c r="V1154" s="218" t="e">
        <f>IF(C1154="",NA(),IF(OR(C1154="Smelter not listed",C1154="Smelter not yet identified"),MATCH($B1154&amp;$D1154,'Smelter Look-up'!$J:$J,0),MATCH($B1154&amp;$C1154,'Smelter Look-up'!$J:$J,0)))</f>
        <v>#N/A</v>
      </c>
      <c r="X1154" s="219">
        <f t="shared" ca="1" si="166"/>
        <v>0</v>
      </c>
      <c r="AB1154" s="220" t="str">
        <f t="shared" si="167"/>
        <v/>
      </c>
    </row>
    <row r="1155" spans="1:28" s="219" customFormat="1" ht="20.25">
      <c r="A1155" s="174"/>
      <c r="B1155" s="175" t="str">
        <f>IF(LEN(A1155)=0,"",INDEX('Smelter Look-up'!$A:$A,MATCH($A1155,'Smelter Look-up'!$E:$E,0)))</f>
        <v/>
      </c>
      <c r="C1155" s="179" t="str">
        <f>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65"/>
        <v/>
      </c>
      <c r="T1155" s="174" t="str">
        <f ca="1">IF(B1155="","",IF(ISERROR(MATCH($J1155,SorP!$B$1:$B$6279,0)),"",INDIRECT("'SorP'!$A$"&amp;MATCH($S1155&amp;$J1155,SorP!C:C,0))))</f>
        <v/>
      </c>
      <c r="U1155" s="194"/>
      <c r="V1155" s="218" t="e">
        <f>IF(C1155="",NA(),IF(OR(C1155="Smelter not listed",C1155="Smelter not yet identified"),MATCH($B1155&amp;$D1155,'Smelter Look-up'!$J:$J,0),MATCH($B1155&amp;$C1155,'Smelter Look-up'!$J:$J,0)))</f>
        <v>#N/A</v>
      </c>
      <c r="X1155" s="219">
        <f t="shared" ca="1" si="166"/>
        <v>0</v>
      </c>
      <c r="AB1155" s="220" t="str">
        <f t="shared" si="167"/>
        <v/>
      </c>
    </row>
    <row r="1156" spans="1:28" s="219" customFormat="1" ht="20.25">
      <c r="A1156" s="174"/>
      <c r="B1156" s="175" t="str">
        <f>IF(LEN(A1156)=0,"",INDEX('Smelter Look-up'!$A:$A,MATCH($A1156,'Smelter Look-up'!$E:$E,0)))</f>
        <v/>
      </c>
      <c r="C1156" s="179" t="str">
        <f>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65"/>
        <v/>
      </c>
      <c r="T1156" s="174" t="str">
        <f ca="1">IF(B1156="","",IF(ISERROR(MATCH($J1156,SorP!$B$1:$B$6279,0)),"",INDIRECT("'SorP'!$A$"&amp;MATCH($S1156&amp;$J1156,SorP!C:C,0))))</f>
        <v/>
      </c>
      <c r="U1156" s="194"/>
      <c r="V1156" s="218" t="e">
        <f>IF(C1156="",NA(),IF(OR(C1156="Smelter not listed",C1156="Smelter not yet identified"),MATCH($B1156&amp;$D1156,'Smelter Look-up'!$J:$J,0),MATCH($B1156&amp;$C1156,'Smelter Look-up'!$J:$J,0)))</f>
        <v>#N/A</v>
      </c>
      <c r="X1156" s="219">
        <f t="shared" ca="1" si="166"/>
        <v>0</v>
      </c>
      <c r="AB1156" s="220" t="str">
        <f t="shared" si="167"/>
        <v/>
      </c>
    </row>
    <row r="1157" spans="1:28" s="219" customFormat="1" ht="20.25">
      <c r="A1157" s="174"/>
      <c r="B1157" s="175" t="str">
        <f>IF(LEN(A1157)=0,"",INDEX('Smelter Look-up'!$A:$A,MATCH($A1157,'Smelter Look-up'!$E:$E,0)))</f>
        <v/>
      </c>
      <c r="C1157" s="179" t="str">
        <f>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65"/>
        <v/>
      </c>
      <c r="T1157" s="174" t="str">
        <f ca="1">IF(B1157="","",IF(ISERROR(MATCH($J1157,SorP!$B$1:$B$6279,0)),"",INDIRECT("'SorP'!$A$"&amp;MATCH($S1157&amp;$J1157,SorP!C:C,0))))</f>
        <v/>
      </c>
      <c r="U1157" s="194"/>
      <c r="V1157" s="218" t="e">
        <f>IF(C1157="",NA(),IF(OR(C1157="Smelter not listed",C1157="Smelter not yet identified"),MATCH($B1157&amp;$D1157,'Smelter Look-up'!$J:$J,0),MATCH($B1157&amp;$C1157,'Smelter Look-up'!$J:$J,0)))</f>
        <v>#N/A</v>
      </c>
      <c r="X1157" s="219">
        <f t="shared" ca="1" si="166"/>
        <v>0</v>
      </c>
      <c r="AB1157" s="220" t="str">
        <f t="shared" si="167"/>
        <v/>
      </c>
    </row>
    <row r="1158" spans="1:28" s="219" customFormat="1" ht="20.25">
      <c r="A1158" s="174"/>
      <c r="B1158" s="175" t="str">
        <f>IF(LEN(A1158)=0,"",INDEX('Smelter Look-up'!$A:$A,MATCH($A1158,'Smelter Look-up'!$E:$E,0)))</f>
        <v/>
      </c>
      <c r="C1158" s="179" t="str">
        <f>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65"/>
        <v/>
      </c>
      <c r="T1158" s="174" t="str">
        <f ca="1">IF(B1158="","",IF(ISERROR(MATCH($J1158,SorP!$B$1:$B$6279,0)),"",INDIRECT("'SorP'!$A$"&amp;MATCH($S1158&amp;$J1158,SorP!C:C,0))))</f>
        <v/>
      </c>
      <c r="U1158" s="194"/>
      <c r="V1158" s="218" t="e">
        <f>IF(C1158="",NA(),IF(OR(C1158="Smelter not listed",C1158="Smelter not yet identified"),MATCH($B1158&amp;$D1158,'Smelter Look-up'!$J:$J,0),MATCH($B1158&amp;$C1158,'Smelter Look-up'!$J:$J,0)))</f>
        <v>#N/A</v>
      </c>
      <c r="X1158" s="219">
        <f t="shared" ca="1" si="166"/>
        <v>0</v>
      </c>
      <c r="AB1158" s="220" t="str">
        <f t="shared" si="167"/>
        <v/>
      </c>
    </row>
    <row r="1159" spans="1:28" s="219" customFormat="1" ht="20.25">
      <c r="A1159" s="174"/>
      <c r="B1159" s="175" t="str">
        <f>IF(LEN(A1159)=0,"",INDEX('Smelter Look-up'!$A:$A,MATCH($A1159,'Smelter Look-up'!$E:$E,0)))</f>
        <v/>
      </c>
      <c r="C1159" s="179" t="str">
        <f>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65"/>
        <v/>
      </c>
      <c r="T1159" s="174" t="str">
        <f ca="1">IF(B1159="","",IF(ISERROR(MATCH($J1159,SorP!$B$1:$B$6279,0)),"",INDIRECT("'SorP'!$A$"&amp;MATCH($S1159&amp;$J1159,SorP!C:C,0))))</f>
        <v/>
      </c>
      <c r="U1159" s="194"/>
      <c r="V1159" s="218" t="e">
        <f>IF(C1159="",NA(),IF(OR(C1159="Smelter not listed",C1159="Smelter not yet identified"),MATCH($B1159&amp;$D1159,'Smelter Look-up'!$J:$J,0),MATCH($B1159&amp;$C1159,'Smelter Look-up'!$J:$J,0)))</f>
        <v>#N/A</v>
      </c>
      <c r="X1159" s="219">
        <f t="shared" ca="1" si="166"/>
        <v>0</v>
      </c>
      <c r="AB1159" s="220" t="str">
        <f t="shared" si="167"/>
        <v/>
      </c>
    </row>
    <row r="1160" spans="1:28" s="219" customFormat="1" ht="20.25">
      <c r="A1160" s="174"/>
      <c r="B1160" s="175" t="str">
        <f>IF(LEN(A1160)=0,"",INDEX('Smelter Look-up'!$A:$A,MATCH($A1160,'Smelter Look-up'!$E:$E,0)))</f>
        <v/>
      </c>
      <c r="C1160" s="179" t="str">
        <f>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65"/>
        <v/>
      </c>
      <c r="T1160" s="174" t="str">
        <f ca="1">IF(B1160="","",IF(ISERROR(MATCH($J1160,SorP!$B$1:$B$6279,0)),"",INDIRECT("'SorP'!$A$"&amp;MATCH($S1160&amp;$J1160,SorP!C:C,0))))</f>
        <v/>
      </c>
      <c r="U1160" s="194"/>
      <c r="V1160" s="218" t="e">
        <f>IF(C1160="",NA(),IF(OR(C1160="Smelter not listed",C1160="Smelter not yet identified"),MATCH($B1160&amp;$D1160,'Smelter Look-up'!$J:$J,0),MATCH($B1160&amp;$C1160,'Smelter Look-up'!$J:$J,0)))</f>
        <v>#N/A</v>
      </c>
      <c r="X1160" s="219">
        <f t="shared" ca="1" si="166"/>
        <v>0</v>
      </c>
      <c r="AB1160" s="220" t="str">
        <f t="shared" si="167"/>
        <v/>
      </c>
    </row>
    <row r="1161" spans="1:28" s="219" customFormat="1" ht="20.25">
      <c r="A1161" s="174"/>
      <c r="B1161" s="175" t="str">
        <f>IF(LEN(A1161)=0,"",INDEX('Smelter Look-up'!$A:$A,MATCH($A1161,'Smelter Look-up'!$E:$E,0)))</f>
        <v/>
      </c>
      <c r="C1161" s="179" t="str">
        <f>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65"/>
        <v/>
      </c>
      <c r="T1161" s="174" t="str">
        <f ca="1">IF(B1161="","",IF(ISERROR(MATCH($J1161,SorP!$B$1:$B$6279,0)),"",INDIRECT("'SorP'!$A$"&amp;MATCH($S1161&amp;$J1161,SorP!C:C,0))))</f>
        <v/>
      </c>
      <c r="U1161" s="194"/>
      <c r="V1161" s="218" t="e">
        <f>IF(C1161="",NA(),IF(OR(C1161="Smelter not listed",C1161="Smelter not yet identified"),MATCH($B1161&amp;$D1161,'Smelter Look-up'!$J:$J,0),MATCH($B1161&amp;$C1161,'Smelter Look-up'!$J:$J,0)))</f>
        <v>#N/A</v>
      </c>
      <c r="X1161" s="219">
        <f t="shared" ca="1" si="166"/>
        <v>0</v>
      </c>
      <c r="AB1161" s="220" t="str">
        <f t="shared" si="167"/>
        <v/>
      </c>
    </row>
    <row r="1162" spans="1:28" s="219" customFormat="1" ht="20.25">
      <c r="A1162" s="174"/>
      <c r="B1162" s="175" t="str">
        <f>IF(LEN(A1162)=0,"",INDEX('Smelter Look-up'!$A:$A,MATCH($A1162,'Smelter Look-up'!$E:$E,0)))</f>
        <v/>
      </c>
      <c r="C1162" s="179" t="str">
        <f>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65"/>
        <v/>
      </c>
      <c r="T1162" s="174" t="str">
        <f ca="1">IF(B1162="","",IF(ISERROR(MATCH($J1162,SorP!$B$1:$B$6279,0)),"",INDIRECT("'SorP'!$A$"&amp;MATCH($S1162&amp;$J1162,SorP!C:C,0))))</f>
        <v/>
      </c>
      <c r="U1162" s="194"/>
      <c r="V1162" s="218" t="e">
        <f>IF(C1162="",NA(),IF(OR(C1162="Smelter not listed",C1162="Smelter not yet identified"),MATCH($B1162&amp;$D1162,'Smelter Look-up'!$J:$J,0),MATCH($B1162&amp;$C1162,'Smelter Look-up'!$J:$J,0)))</f>
        <v>#N/A</v>
      </c>
      <c r="X1162" s="219">
        <f t="shared" ca="1" si="166"/>
        <v>0</v>
      </c>
      <c r="AB1162" s="220" t="str">
        <f t="shared" si="167"/>
        <v/>
      </c>
    </row>
    <row r="1163" spans="1:28" s="219" customFormat="1" ht="20.25">
      <c r="A1163" s="174"/>
      <c r="B1163" s="175" t="str">
        <f>IF(LEN(A1163)=0,"",INDEX('Smelter Look-up'!$A:$A,MATCH($A1163,'Smelter Look-up'!$E:$E,0)))</f>
        <v/>
      </c>
      <c r="C1163" s="179" t="str">
        <f>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65"/>
        <v/>
      </c>
      <c r="T1163" s="174" t="str">
        <f ca="1">IF(B1163="","",IF(ISERROR(MATCH($J1163,SorP!$B$1:$B$6279,0)),"",INDIRECT("'SorP'!$A$"&amp;MATCH($S1163&amp;$J1163,SorP!C:C,0))))</f>
        <v/>
      </c>
      <c r="U1163" s="194"/>
      <c r="V1163" s="218" t="e">
        <f>IF(C1163="",NA(),IF(OR(C1163="Smelter not listed",C1163="Smelter not yet identified"),MATCH($B1163&amp;$D1163,'Smelter Look-up'!$J:$J,0),MATCH($B1163&amp;$C1163,'Smelter Look-up'!$J:$J,0)))</f>
        <v>#N/A</v>
      </c>
      <c r="X1163" s="219">
        <f t="shared" ca="1" si="166"/>
        <v>0</v>
      </c>
      <c r="AB1163" s="220" t="str">
        <f t="shared" si="167"/>
        <v/>
      </c>
    </row>
    <row r="1164" spans="1:28" s="219" customFormat="1" ht="20.25">
      <c r="A1164" s="174"/>
      <c r="B1164" s="175" t="str">
        <f>IF(LEN(A1164)=0,"",INDEX('Smelter Look-up'!$A:$A,MATCH($A1164,'Smelter Look-up'!$E:$E,0)))</f>
        <v/>
      </c>
      <c r="C1164" s="179" t="str">
        <f>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65"/>
        <v/>
      </c>
      <c r="T1164" s="174" t="str">
        <f ca="1">IF(B1164="","",IF(ISERROR(MATCH($J1164,SorP!$B$1:$B$6279,0)),"",INDIRECT("'SorP'!$A$"&amp;MATCH($S1164&amp;$J1164,SorP!C:C,0))))</f>
        <v/>
      </c>
      <c r="U1164" s="194"/>
      <c r="V1164" s="218" t="e">
        <f>IF(C1164="",NA(),IF(OR(C1164="Smelter not listed",C1164="Smelter not yet identified"),MATCH($B1164&amp;$D1164,'Smelter Look-up'!$J:$J,0),MATCH($B1164&amp;$C1164,'Smelter Look-up'!$J:$J,0)))</f>
        <v>#N/A</v>
      </c>
      <c r="X1164" s="219">
        <f t="shared" ca="1" si="166"/>
        <v>0</v>
      </c>
      <c r="AB1164" s="220" t="str">
        <f t="shared" si="167"/>
        <v/>
      </c>
    </row>
    <row r="1165" spans="1:28" s="219" customFormat="1" ht="20.25">
      <c r="A1165" s="174"/>
      <c r="B1165" s="175" t="str">
        <f>IF(LEN(A1165)=0,"",INDEX('Smelter Look-up'!$A:$A,MATCH($A1165,'Smelter Look-up'!$E:$E,0)))</f>
        <v/>
      </c>
      <c r="C1165" s="179" t="str">
        <f>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65"/>
        <v/>
      </c>
      <c r="T1165" s="174" t="str">
        <f ca="1">IF(B1165="","",IF(ISERROR(MATCH($J1165,SorP!$B$1:$B$6279,0)),"",INDIRECT("'SorP'!$A$"&amp;MATCH($S1165&amp;$J1165,SorP!C:C,0))))</f>
        <v/>
      </c>
      <c r="U1165" s="194"/>
      <c r="V1165" s="218" t="e">
        <f>IF(C1165="",NA(),IF(OR(C1165="Smelter not listed",C1165="Smelter not yet identified"),MATCH($B1165&amp;$D1165,'Smelter Look-up'!$J:$J,0),MATCH($B1165&amp;$C1165,'Smelter Look-up'!$J:$J,0)))</f>
        <v>#N/A</v>
      </c>
      <c r="X1165" s="219">
        <f t="shared" ca="1" si="166"/>
        <v>0</v>
      </c>
      <c r="AB1165" s="220" t="str">
        <f t="shared" si="167"/>
        <v/>
      </c>
    </row>
    <row r="1166" spans="1:28" s="219" customFormat="1" ht="20.25">
      <c r="A1166" s="174"/>
      <c r="B1166" s="175" t="str">
        <f>IF(LEN(A1166)=0,"",INDEX('Smelter Look-up'!$A:$A,MATCH($A1166,'Smelter Look-up'!$E:$E,0)))</f>
        <v/>
      </c>
      <c r="C1166" s="179" t="str">
        <f>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65"/>
        <v/>
      </c>
      <c r="T1166" s="174" t="str">
        <f ca="1">IF(B1166="","",IF(ISERROR(MATCH($J1166,SorP!$B$1:$B$6279,0)),"",INDIRECT("'SorP'!$A$"&amp;MATCH($S1166&amp;$J1166,SorP!C:C,0))))</f>
        <v/>
      </c>
      <c r="U1166" s="194"/>
      <c r="V1166" s="218" t="e">
        <f>IF(C1166="",NA(),IF(OR(C1166="Smelter not listed",C1166="Smelter not yet identified"),MATCH($B1166&amp;$D1166,'Smelter Look-up'!$J:$J,0),MATCH($B1166&amp;$C1166,'Smelter Look-up'!$J:$J,0)))</f>
        <v>#N/A</v>
      </c>
      <c r="X1166" s="219">
        <f t="shared" ca="1" si="166"/>
        <v>0</v>
      </c>
      <c r="AB1166" s="220" t="str">
        <f t="shared" si="167"/>
        <v/>
      </c>
    </row>
    <row r="1167" spans="1:28" s="219" customFormat="1" ht="20.25">
      <c r="A1167" s="174"/>
      <c r="B1167" s="175" t="str">
        <f>IF(LEN(A1167)=0,"",INDEX('Smelter Look-up'!$A:$A,MATCH($A1167,'Smelter Look-up'!$E:$E,0)))</f>
        <v/>
      </c>
      <c r="C1167" s="179" t="str">
        <f>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65"/>
        <v/>
      </c>
      <c r="T1167" s="174" t="str">
        <f ca="1">IF(B1167="","",IF(ISERROR(MATCH($J1167,SorP!$B$1:$B$6279,0)),"",INDIRECT("'SorP'!$A$"&amp;MATCH($S1167&amp;$J1167,SorP!C:C,0))))</f>
        <v/>
      </c>
      <c r="U1167" s="194"/>
      <c r="V1167" s="218" t="e">
        <f>IF(C1167="",NA(),IF(OR(C1167="Smelter not listed",C1167="Smelter not yet identified"),MATCH($B1167&amp;$D1167,'Smelter Look-up'!$J:$J,0),MATCH($B1167&amp;$C1167,'Smelter Look-up'!$J:$J,0)))</f>
        <v>#N/A</v>
      </c>
      <c r="X1167" s="219">
        <f t="shared" ca="1" si="166"/>
        <v>0</v>
      </c>
      <c r="AB1167" s="220" t="str">
        <f t="shared" si="167"/>
        <v/>
      </c>
    </row>
    <row r="1168" spans="1:28" s="219" customFormat="1" ht="20.25">
      <c r="A1168" s="174"/>
      <c r="B1168" s="175" t="str">
        <f>IF(LEN(A1168)=0,"",INDEX('Smelter Look-up'!$A:$A,MATCH($A1168,'Smelter Look-up'!$E:$E,0)))</f>
        <v/>
      </c>
      <c r="C1168" s="179" t="str">
        <f>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65"/>
        <v/>
      </c>
      <c r="T1168" s="174" t="str">
        <f ca="1">IF(B1168="","",IF(ISERROR(MATCH($J1168,SorP!$B$1:$B$6279,0)),"",INDIRECT("'SorP'!$A$"&amp;MATCH($S1168&amp;$J1168,SorP!C:C,0))))</f>
        <v/>
      </c>
      <c r="U1168" s="194"/>
      <c r="V1168" s="218" t="e">
        <f>IF(C1168="",NA(),IF(OR(C1168="Smelter not listed",C1168="Smelter not yet identified"),MATCH($B1168&amp;$D1168,'Smelter Look-up'!$J:$J,0),MATCH($B1168&amp;$C1168,'Smelter Look-up'!$J:$J,0)))</f>
        <v>#N/A</v>
      </c>
      <c r="X1168" s="219">
        <f t="shared" ca="1" si="166"/>
        <v>0</v>
      </c>
      <c r="AB1168" s="220" t="str">
        <f t="shared" si="167"/>
        <v/>
      </c>
    </row>
    <row r="1169" spans="1:28" s="219" customFormat="1" ht="20.25">
      <c r="A1169" s="174"/>
      <c r="B1169" s="175" t="str">
        <f>IF(LEN(A1169)=0,"",INDEX('Smelter Look-up'!$A:$A,MATCH($A1169,'Smelter Look-up'!$E:$E,0)))</f>
        <v/>
      </c>
      <c r="C1169" s="179" t="str">
        <f>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65"/>
        <v/>
      </c>
      <c r="T1169" s="174" t="str">
        <f ca="1">IF(B1169="","",IF(ISERROR(MATCH($J1169,SorP!$B$1:$B$6279,0)),"",INDIRECT("'SorP'!$A$"&amp;MATCH($S1169&amp;$J1169,SorP!C:C,0))))</f>
        <v/>
      </c>
      <c r="U1169" s="194"/>
      <c r="V1169" s="218" t="e">
        <f>IF(C1169="",NA(),IF(OR(C1169="Smelter not listed",C1169="Smelter not yet identified"),MATCH($B1169&amp;$D1169,'Smelter Look-up'!$J:$J,0),MATCH($B1169&amp;$C1169,'Smelter Look-up'!$J:$J,0)))</f>
        <v>#N/A</v>
      </c>
      <c r="X1169" s="219">
        <f t="shared" ca="1" si="166"/>
        <v>0</v>
      </c>
      <c r="AB1169" s="220" t="str">
        <f t="shared" si="167"/>
        <v/>
      </c>
    </row>
    <row r="1170" spans="1:28" s="219" customFormat="1" ht="20.25">
      <c r="A1170" s="174"/>
      <c r="B1170" s="175" t="str">
        <f>IF(LEN(A1170)=0,"",INDEX('Smelter Look-up'!$A:$A,MATCH($A1170,'Smelter Look-up'!$E:$E,0)))</f>
        <v/>
      </c>
      <c r="C1170" s="179" t="str">
        <f>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65"/>
        <v/>
      </c>
      <c r="T1170" s="174" t="str">
        <f ca="1">IF(B1170="","",IF(ISERROR(MATCH($J1170,SorP!$B$1:$B$6279,0)),"",INDIRECT("'SorP'!$A$"&amp;MATCH($S1170&amp;$J1170,SorP!C:C,0))))</f>
        <v/>
      </c>
      <c r="U1170" s="194"/>
      <c r="V1170" s="218" t="e">
        <f>IF(C1170="",NA(),IF(OR(C1170="Smelter not listed",C1170="Smelter not yet identified"),MATCH($B1170&amp;$D1170,'Smelter Look-up'!$J:$J,0),MATCH($B1170&amp;$C1170,'Smelter Look-up'!$J:$J,0)))</f>
        <v>#N/A</v>
      </c>
      <c r="X1170" s="219">
        <f t="shared" ca="1" si="166"/>
        <v>0</v>
      </c>
      <c r="AB1170" s="220" t="str">
        <f t="shared" si="167"/>
        <v/>
      </c>
    </row>
    <row r="1171" spans="1:28" s="219" customFormat="1" ht="20.25">
      <c r="A1171" s="174"/>
      <c r="B1171" s="175" t="str">
        <f>IF(LEN(A1171)=0,"",INDEX('Smelter Look-up'!$A:$A,MATCH($A1171,'Smelter Look-up'!$E:$E,0)))</f>
        <v/>
      </c>
      <c r="C1171" s="179" t="str">
        <f>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65"/>
        <v/>
      </c>
      <c r="T1171" s="174" t="str">
        <f ca="1">IF(B1171="","",IF(ISERROR(MATCH($J1171,SorP!$B$1:$B$6279,0)),"",INDIRECT("'SorP'!$A$"&amp;MATCH($S1171&amp;$J1171,SorP!C:C,0))))</f>
        <v/>
      </c>
      <c r="U1171" s="194"/>
      <c r="V1171" s="218" t="e">
        <f>IF(C1171="",NA(),IF(OR(C1171="Smelter not listed",C1171="Smelter not yet identified"),MATCH($B1171&amp;$D1171,'Smelter Look-up'!$J:$J,0),MATCH($B1171&amp;$C1171,'Smelter Look-up'!$J:$J,0)))</f>
        <v>#N/A</v>
      </c>
      <c r="X1171" s="219">
        <f t="shared" ca="1" si="166"/>
        <v>0</v>
      </c>
      <c r="AB1171" s="220" t="str">
        <f t="shared" si="167"/>
        <v/>
      </c>
    </row>
    <row r="1172" spans="1:28" s="219" customFormat="1" ht="20.25">
      <c r="A1172" s="174"/>
      <c r="B1172" s="175" t="str">
        <f>IF(LEN(A1172)=0,"",INDEX('Smelter Look-up'!$A:$A,MATCH($A1172,'Smelter Look-up'!$E:$E,0)))</f>
        <v/>
      </c>
      <c r="C1172" s="179" t="str">
        <f>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65"/>
        <v/>
      </c>
      <c r="T1172" s="174" t="str">
        <f ca="1">IF(B1172="","",IF(ISERROR(MATCH($J1172,SorP!$B$1:$B$6279,0)),"",INDIRECT("'SorP'!$A$"&amp;MATCH($S1172&amp;$J1172,SorP!C:C,0))))</f>
        <v/>
      </c>
      <c r="U1172" s="194"/>
      <c r="V1172" s="218" t="e">
        <f>IF(C1172="",NA(),IF(OR(C1172="Smelter not listed",C1172="Smelter not yet identified"),MATCH($B1172&amp;$D1172,'Smelter Look-up'!$J:$J,0),MATCH($B1172&amp;$C1172,'Smelter Look-up'!$J:$J,0)))</f>
        <v>#N/A</v>
      </c>
      <c r="X1172" s="219">
        <f t="shared" ca="1" si="166"/>
        <v>0</v>
      </c>
      <c r="AB1172" s="220" t="str">
        <f t="shared" si="167"/>
        <v/>
      </c>
    </row>
    <row r="1173" spans="1:28" s="219" customFormat="1" ht="20.25">
      <c r="A1173" s="174"/>
      <c r="B1173" s="175" t="str">
        <f>IF(LEN(A1173)=0,"",INDEX('Smelter Look-up'!$A:$A,MATCH($A1173,'Smelter Look-up'!$E:$E,0)))</f>
        <v/>
      </c>
      <c r="C1173" s="179" t="str">
        <f>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65"/>
        <v/>
      </c>
      <c r="T1173" s="174" t="str">
        <f ca="1">IF(B1173="","",IF(ISERROR(MATCH($J1173,SorP!$B$1:$B$6279,0)),"",INDIRECT("'SorP'!$A$"&amp;MATCH($S1173&amp;$J1173,SorP!C:C,0))))</f>
        <v/>
      </c>
      <c r="U1173" s="194"/>
      <c r="V1173" s="218" t="e">
        <f>IF(C1173="",NA(),IF(OR(C1173="Smelter not listed",C1173="Smelter not yet identified"),MATCH($B1173&amp;$D1173,'Smelter Look-up'!$J:$J,0),MATCH($B1173&amp;$C1173,'Smelter Look-up'!$J:$J,0)))</f>
        <v>#N/A</v>
      </c>
      <c r="X1173" s="219">
        <f t="shared" ca="1" si="166"/>
        <v>0</v>
      </c>
      <c r="AB1173" s="220" t="str">
        <f t="shared" si="167"/>
        <v/>
      </c>
    </row>
    <row r="1174" spans="1:28" s="219" customFormat="1" ht="20.25">
      <c r="A1174" s="174"/>
      <c r="B1174" s="175" t="str">
        <f>IF(LEN(A1174)=0,"",INDEX('Smelter Look-up'!$A:$A,MATCH($A1174,'Smelter Look-up'!$E:$E,0)))</f>
        <v/>
      </c>
      <c r="C1174" s="179" t="str">
        <f>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65"/>
        <v/>
      </c>
      <c r="T1174" s="174" t="str">
        <f ca="1">IF(B1174="","",IF(ISERROR(MATCH($J1174,SorP!$B$1:$B$6279,0)),"",INDIRECT("'SorP'!$A$"&amp;MATCH($S1174&amp;$J1174,SorP!C:C,0))))</f>
        <v/>
      </c>
      <c r="U1174" s="194"/>
      <c r="V1174" s="218" t="e">
        <f>IF(C1174="",NA(),IF(OR(C1174="Smelter not listed",C1174="Smelter not yet identified"),MATCH($B1174&amp;$D1174,'Smelter Look-up'!$J:$J,0),MATCH($B1174&amp;$C1174,'Smelter Look-up'!$J:$J,0)))</f>
        <v>#N/A</v>
      </c>
      <c r="X1174" s="219">
        <f t="shared" ca="1" si="166"/>
        <v>0</v>
      </c>
      <c r="AB1174" s="220" t="str">
        <f t="shared" si="167"/>
        <v/>
      </c>
    </row>
    <row r="1175" spans="1:28" s="219" customFormat="1" ht="20.25">
      <c r="A1175" s="174"/>
      <c r="B1175" s="175" t="str">
        <f>IF(LEN(A1175)=0,"",INDEX('Smelter Look-up'!$A:$A,MATCH($A1175,'Smelter Look-up'!$E:$E,0)))</f>
        <v/>
      </c>
      <c r="C1175" s="179" t="str">
        <f>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65"/>
        <v/>
      </c>
      <c r="T1175" s="174" t="str">
        <f ca="1">IF(B1175="","",IF(ISERROR(MATCH($J1175,SorP!$B$1:$B$6279,0)),"",INDIRECT("'SorP'!$A$"&amp;MATCH($S1175&amp;$J1175,SorP!C:C,0))))</f>
        <v/>
      </c>
      <c r="U1175" s="194"/>
      <c r="V1175" s="218" t="e">
        <f>IF(C1175="",NA(),IF(OR(C1175="Smelter not listed",C1175="Smelter not yet identified"),MATCH($B1175&amp;$D1175,'Smelter Look-up'!$J:$J,0),MATCH($B1175&amp;$C1175,'Smelter Look-up'!$J:$J,0)))</f>
        <v>#N/A</v>
      </c>
      <c r="X1175" s="219">
        <f t="shared" ca="1" si="166"/>
        <v>0</v>
      </c>
      <c r="AB1175" s="220" t="str">
        <f t="shared" si="167"/>
        <v/>
      </c>
    </row>
    <row r="1176" spans="1:28" s="219" customFormat="1" ht="20.25">
      <c r="A1176" s="174"/>
      <c r="B1176" s="175" t="str">
        <f>IF(LEN(A1176)=0,"",INDEX('Smelter Look-up'!$A:$A,MATCH($A1176,'Smelter Look-up'!$E:$E,0)))</f>
        <v/>
      </c>
      <c r="C1176" s="179" t="str">
        <f>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65"/>
        <v/>
      </c>
      <c r="T1176" s="174" t="str">
        <f ca="1">IF(B1176="","",IF(ISERROR(MATCH($J1176,SorP!$B$1:$B$6279,0)),"",INDIRECT("'SorP'!$A$"&amp;MATCH($S1176&amp;$J1176,SorP!C:C,0))))</f>
        <v/>
      </c>
      <c r="U1176" s="194"/>
      <c r="V1176" s="218" t="e">
        <f>IF(C1176="",NA(),IF(OR(C1176="Smelter not listed",C1176="Smelter not yet identified"),MATCH($B1176&amp;$D1176,'Smelter Look-up'!$J:$J,0),MATCH($B1176&amp;$C1176,'Smelter Look-up'!$J:$J,0)))</f>
        <v>#N/A</v>
      </c>
      <c r="X1176" s="219">
        <f t="shared" ca="1" si="166"/>
        <v>0</v>
      </c>
      <c r="AB1176" s="220" t="str">
        <f t="shared" si="167"/>
        <v/>
      </c>
    </row>
    <row r="1177" spans="1:28" s="219" customFormat="1" ht="20.25">
      <c r="A1177" s="174"/>
      <c r="B1177" s="175" t="str">
        <f>IF(LEN(A1177)=0,"",INDEX('Smelter Look-up'!$A:$A,MATCH($A1177,'Smelter Look-up'!$E:$E,0)))</f>
        <v/>
      </c>
      <c r="C1177" s="179" t="str">
        <f>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65"/>
        <v/>
      </c>
      <c r="T1177" s="174" t="str">
        <f ca="1">IF(B1177="","",IF(ISERROR(MATCH($J1177,SorP!$B$1:$B$6279,0)),"",INDIRECT("'SorP'!$A$"&amp;MATCH($S1177&amp;$J1177,SorP!C:C,0))))</f>
        <v/>
      </c>
      <c r="U1177" s="194"/>
      <c r="V1177" s="218" t="e">
        <f>IF(C1177="",NA(),IF(OR(C1177="Smelter not listed",C1177="Smelter not yet identified"),MATCH($B1177&amp;$D1177,'Smelter Look-up'!$J:$J,0),MATCH($B1177&amp;$C1177,'Smelter Look-up'!$J:$J,0)))</f>
        <v>#N/A</v>
      </c>
      <c r="X1177" s="219">
        <f t="shared" ca="1" si="166"/>
        <v>0</v>
      </c>
      <c r="AB1177" s="220" t="str">
        <f t="shared" si="167"/>
        <v/>
      </c>
    </row>
    <row r="1178" spans="1:28" s="219" customFormat="1" ht="20.25">
      <c r="A1178" s="174"/>
      <c r="B1178" s="175" t="str">
        <f>IF(LEN(A1178)=0,"",INDEX('Smelter Look-up'!$A:$A,MATCH($A1178,'Smelter Look-up'!$E:$E,0)))</f>
        <v/>
      </c>
      <c r="C1178" s="179" t="str">
        <f>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165"/>
        <v/>
      </c>
      <c r="T1178" s="174" t="str">
        <f ca="1">IF(B1178="","",IF(ISERROR(MATCH($J1178,SorP!$B$1:$B$6279,0)),"",INDIRECT("'SorP'!$A$"&amp;MATCH($S1178&amp;$J1178,SorP!C:C,0))))</f>
        <v/>
      </c>
      <c r="U1178" s="194"/>
      <c r="V1178" s="218" t="e">
        <f>IF(C1178="",NA(),IF(OR(C1178="Smelter not listed",C1178="Smelter not yet identified"),MATCH($B1178&amp;$D1178,'Smelter Look-up'!$J:$J,0),MATCH($B1178&amp;$C1178,'Smelter Look-up'!$J:$J,0)))</f>
        <v>#N/A</v>
      </c>
      <c r="X1178" s="219">
        <f t="shared" ca="1" si="166"/>
        <v>0</v>
      </c>
      <c r="AB1178" s="220" t="str">
        <f t="shared" si="167"/>
        <v/>
      </c>
    </row>
    <row r="1179" spans="1:28" s="219" customFormat="1" ht="20.25">
      <c r="A1179" s="174"/>
      <c r="B1179" s="175" t="str">
        <f>IF(LEN(A1179)=0,"",INDEX('Smelter Look-up'!$A:$A,MATCH($A1179,'Smelter Look-up'!$E:$E,0)))</f>
        <v/>
      </c>
      <c r="C1179" s="179" t="str">
        <f>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165"/>
        <v/>
      </c>
      <c r="T1179" s="174" t="str">
        <f ca="1">IF(B1179="","",IF(ISERROR(MATCH($J1179,SorP!$B$1:$B$6279,0)),"",INDIRECT("'SorP'!$A$"&amp;MATCH($S1179&amp;$J1179,SorP!C:C,0))))</f>
        <v/>
      </c>
      <c r="U1179" s="194"/>
      <c r="V1179" s="218" t="e">
        <f>IF(C1179="",NA(),IF(OR(C1179="Smelter not listed",C1179="Smelter not yet identified"),MATCH($B1179&amp;$D1179,'Smelter Look-up'!$J:$J,0),MATCH($B1179&amp;$C1179,'Smelter Look-up'!$J:$J,0)))</f>
        <v>#N/A</v>
      </c>
      <c r="X1179" s="219">
        <f t="shared" ca="1" si="166"/>
        <v>0</v>
      </c>
      <c r="AB1179" s="220" t="str">
        <f t="shared" si="167"/>
        <v/>
      </c>
    </row>
    <row r="1180" spans="1:28" s="219" customFormat="1" ht="20.25">
      <c r="A1180" s="174"/>
      <c r="B1180" s="175" t="str">
        <f>IF(LEN(A1180)=0,"",INDEX('Smelter Look-up'!$A:$A,MATCH($A1180,'Smelter Look-up'!$E:$E,0)))</f>
        <v/>
      </c>
      <c r="C1180" s="179" t="str">
        <f>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ref="S1180:S1210" ca="1" si="168">IF(B1180="","",IF(ISERROR(MATCH($E1180,CL,0)),"Unknown",INDIRECT("'C'!$A$"&amp;MATCH($E1180,CL,0)+1)))</f>
        <v/>
      </c>
      <c r="T1180" s="174" t="str">
        <f ca="1">IF(B1180="","",IF(ISERROR(MATCH($J1180,SorP!$B$1:$B$6279,0)),"",INDIRECT("'SorP'!$A$"&amp;MATCH($S1180&amp;$J1180,SorP!C:C,0))))</f>
        <v/>
      </c>
      <c r="U1180" s="194"/>
      <c r="V1180" s="218" t="e">
        <f>IF(C1180="",NA(),IF(OR(C1180="Smelter not listed",C1180="Smelter not yet identified"),MATCH($B1180&amp;$D1180,'Smelter Look-up'!$J:$J,0),MATCH($B1180&amp;$C1180,'Smelter Look-up'!$J:$J,0)))</f>
        <v>#N/A</v>
      </c>
      <c r="X1180" s="219">
        <f t="shared" ref="X1180:X1210" ca="1" si="169">IF(AND(C1180="Smelter not listed",OR(LEN(D1180)=0,LEN(E1180)=0)),1,0)</f>
        <v>0</v>
      </c>
      <c r="AB1180" s="220" t="str">
        <f t="shared" ref="AB1180:AB1210" si="170">B1180&amp;C1180</f>
        <v/>
      </c>
    </row>
    <row r="1181" spans="1:28" s="219" customFormat="1" ht="20.25">
      <c r="A1181" s="174"/>
      <c r="B1181" s="175" t="str">
        <f>IF(LEN(A1181)=0,"",INDEX('Smelter Look-up'!$A:$A,MATCH($A1181,'Smelter Look-up'!$E:$E,0)))</f>
        <v/>
      </c>
      <c r="C1181" s="179" t="str">
        <f>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68"/>
        <v/>
      </c>
      <c r="T1181" s="174" t="str">
        <f ca="1">IF(B1181="","",IF(ISERROR(MATCH($J1181,SorP!$B$1:$B$6279,0)),"",INDIRECT("'SorP'!$A$"&amp;MATCH($S1181&amp;$J1181,SorP!C:C,0))))</f>
        <v/>
      </c>
      <c r="U1181" s="194"/>
      <c r="V1181" s="218" t="e">
        <f>IF(C1181="",NA(),IF(OR(C1181="Smelter not listed",C1181="Smelter not yet identified"),MATCH($B1181&amp;$D1181,'Smelter Look-up'!$J:$J,0),MATCH($B1181&amp;$C1181,'Smelter Look-up'!$J:$J,0)))</f>
        <v>#N/A</v>
      </c>
      <c r="X1181" s="219">
        <f t="shared" ca="1" si="169"/>
        <v>0</v>
      </c>
      <c r="AB1181" s="220" t="str">
        <f t="shared" si="170"/>
        <v/>
      </c>
    </row>
    <row r="1182" spans="1:28" s="219" customFormat="1" ht="20.25">
      <c r="A1182" s="174"/>
      <c r="B1182" s="175" t="str">
        <f>IF(LEN(A1182)=0,"",INDEX('Smelter Look-up'!$A:$A,MATCH($A1182,'Smelter Look-up'!$E:$E,0)))</f>
        <v/>
      </c>
      <c r="C1182" s="179" t="str">
        <f>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68"/>
        <v/>
      </c>
      <c r="T1182" s="174" t="str">
        <f ca="1">IF(B1182="","",IF(ISERROR(MATCH($J1182,SorP!$B$1:$B$6279,0)),"",INDIRECT("'SorP'!$A$"&amp;MATCH($S1182&amp;$J1182,SorP!C:C,0))))</f>
        <v/>
      </c>
      <c r="U1182" s="194"/>
      <c r="V1182" s="218" t="e">
        <f>IF(C1182="",NA(),IF(OR(C1182="Smelter not listed",C1182="Smelter not yet identified"),MATCH($B1182&amp;$D1182,'Smelter Look-up'!$J:$J,0),MATCH($B1182&amp;$C1182,'Smelter Look-up'!$J:$J,0)))</f>
        <v>#N/A</v>
      </c>
      <c r="X1182" s="219">
        <f t="shared" ca="1" si="169"/>
        <v>0</v>
      </c>
      <c r="AB1182" s="220" t="str">
        <f t="shared" si="170"/>
        <v/>
      </c>
    </row>
    <row r="1183" spans="1:28" s="219" customFormat="1" ht="20.25">
      <c r="A1183" s="174"/>
      <c r="B1183" s="175" t="str">
        <f>IF(LEN(A1183)=0,"",INDEX('Smelter Look-up'!$A:$A,MATCH($A1183,'Smelter Look-up'!$E:$E,0)))</f>
        <v/>
      </c>
      <c r="C1183" s="179" t="str">
        <f>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68"/>
        <v/>
      </c>
      <c r="T1183" s="174" t="str">
        <f ca="1">IF(B1183="","",IF(ISERROR(MATCH($J1183,SorP!$B$1:$B$6279,0)),"",INDIRECT("'SorP'!$A$"&amp;MATCH($S1183&amp;$J1183,SorP!C:C,0))))</f>
        <v/>
      </c>
      <c r="U1183" s="194"/>
      <c r="V1183" s="218" t="e">
        <f>IF(C1183="",NA(),IF(OR(C1183="Smelter not listed",C1183="Smelter not yet identified"),MATCH($B1183&amp;$D1183,'Smelter Look-up'!$J:$J,0),MATCH($B1183&amp;$C1183,'Smelter Look-up'!$J:$J,0)))</f>
        <v>#N/A</v>
      </c>
      <c r="X1183" s="219">
        <f t="shared" ca="1" si="169"/>
        <v>0</v>
      </c>
      <c r="AB1183" s="220" t="str">
        <f t="shared" si="170"/>
        <v/>
      </c>
    </row>
    <row r="1184" spans="1:28" s="219" customFormat="1" ht="20.25">
      <c r="A1184" s="174"/>
      <c r="B1184" s="175" t="str">
        <f>IF(LEN(A1184)=0,"",INDEX('Smelter Look-up'!$A:$A,MATCH($A1184,'Smelter Look-up'!$E:$E,0)))</f>
        <v/>
      </c>
      <c r="C1184" s="179" t="str">
        <f>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68"/>
        <v/>
      </c>
      <c r="T1184" s="174" t="str">
        <f ca="1">IF(B1184="","",IF(ISERROR(MATCH($J1184,SorP!$B$1:$B$6279,0)),"",INDIRECT("'SorP'!$A$"&amp;MATCH($S1184&amp;$J1184,SorP!C:C,0))))</f>
        <v/>
      </c>
      <c r="U1184" s="194"/>
      <c r="V1184" s="218" t="e">
        <f>IF(C1184="",NA(),IF(OR(C1184="Smelter not listed",C1184="Smelter not yet identified"),MATCH($B1184&amp;$D1184,'Smelter Look-up'!$J:$J,0),MATCH($B1184&amp;$C1184,'Smelter Look-up'!$J:$J,0)))</f>
        <v>#N/A</v>
      </c>
      <c r="X1184" s="219">
        <f t="shared" ca="1" si="169"/>
        <v>0</v>
      </c>
      <c r="AB1184" s="220" t="str">
        <f t="shared" si="170"/>
        <v/>
      </c>
    </row>
    <row r="1185" spans="1:28" s="219" customFormat="1" ht="20.25">
      <c r="A1185" s="174"/>
      <c r="B1185" s="175" t="str">
        <f>IF(LEN(A1185)=0,"",INDEX('Smelter Look-up'!$A:$A,MATCH($A1185,'Smelter Look-up'!$E:$E,0)))</f>
        <v/>
      </c>
      <c r="C1185" s="179" t="str">
        <f>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68"/>
        <v/>
      </c>
      <c r="T1185" s="174" t="str">
        <f ca="1">IF(B1185="","",IF(ISERROR(MATCH($J1185,SorP!$B$1:$B$6279,0)),"",INDIRECT("'SorP'!$A$"&amp;MATCH($S1185&amp;$J1185,SorP!C:C,0))))</f>
        <v/>
      </c>
      <c r="U1185" s="194"/>
      <c r="V1185" s="218" t="e">
        <f>IF(C1185="",NA(),IF(OR(C1185="Smelter not listed",C1185="Smelter not yet identified"),MATCH($B1185&amp;$D1185,'Smelter Look-up'!$J:$J,0),MATCH($B1185&amp;$C1185,'Smelter Look-up'!$J:$J,0)))</f>
        <v>#N/A</v>
      </c>
      <c r="X1185" s="219">
        <f t="shared" ca="1" si="169"/>
        <v>0</v>
      </c>
      <c r="AB1185" s="220" t="str">
        <f t="shared" si="170"/>
        <v/>
      </c>
    </row>
    <row r="1186" spans="1:28" s="219" customFormat="1" ht="20.25">
      <c r="A1186" s="174"/>
      <c r="B1186" s="175" t="str">
        <f>IF(LEN(A1186)=0,"",INDEX('Smelter Look-up'!$A:$A,MATCH($A1186,'Smelter Look-up'!$E:$E,0)))</f>
        <v/>
      </c>
      <c r="C1186" s="179" t="str">
        <f>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68"/>
        <v/>
      </c>
      <c r="T1186" s="174" t="str">
        <f ca="1">IF(B1186="","",IF(ISERROR(MATCH($J1186,SorP!$B$1:$B$6279,0)),"",INDIRECT("'SorP'!$A$"&amp;MATCH($S1186&amp;$J1186,SorP!C:C,0))))</f>
        <v/>
      </c>
      <c r="U1186" s="194"/>
      <c r="V1186" s="218" t="e">
        <f>IF(C1186="",NA(),IF(OR(C1186="Smelter not listed",C1186="Smelter not yet identified"),MATCH($B1186&amp;$D1186,'Smelter Look-up'!$J:$J,0),MATCH($B1186&amp;$C1186,'Smelter Look-up'!$J:$J,0)))</f>
        <v>#N/A</v>
      </c>
      <c r="X1186" s="219">
        <f t="shared" ca="1" si="169"/>
        <v>0</v>
      </c>
      <c r="AB1186" s="220" t="str">
        <f t="shared" si="170"/>
        <v/>
      </c>
    </row>
    <row r="1187" spans="1:28" s="219" customFormat="1" ht="20.25">
      <c r="A1187" s="174"/>
      <c r="B1187" s="175" t="str">
        <f>IF(LEN(A1187)=0,"",INDEX('Smelter Look-up'!$A:$A,MATCH($A1187,'Smelter Look-up'!$E:$E,0)))</f>
        <v/>
      </c>
      <c r="C1187" s="179" t="str">
        <f>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68"/>
        <v/>
      </c>
      <c r="T1187" s="174" t="str">
        <f ca="1">IF(B1187="","",IF(ISERROR(MATCH($J1187,SorP!$B$1:$B$6279,0)),"",INDIRECT("'SorP'!$A$"&amp;MATCH($S1187&amp;$J1187,SorP!C:C,0))))</f>
        <v/>
      </c>
      <c r="U1187" s="194"/>
      <c r="V1187" s="218" t="e">
        <f>IF(C1187="",NA(),IF(OR(C1187="Smelter not listed",C1187="Smelter not yet identified"),MATCH($B1187&amp;$D1187,'Smelter Look-up'!$J:$J,0),MATCH($B1187&amp;$C1187,'Smelter Look-up'!$J:$J,0)))</f>
        <v>#N/A</v>
      </c>
      <c r="X1187" s="219">
        <f t="shared" ca="1" si="169"/>
        <v>0</v>
      </c>
      <c r="AB1187" s="220" t="str">
        <f t="shared" si="170"/>
        <v/>
      </c>
    </row>
    <row r="1188" spans="1:28" s="219" customFormat="1" ht="20.25">
      <c r="A1188" s="174"/>
      <c r="B1188" s="175" t="str">
        <f>IF(LEN(A1188)=0,"",INDEX('Smelter Look-up'!$A:$A,MATCH($A1188,'Smelter Look-up'!$E:$E,0)))</f>
        <v/>
      </c>
      <c r="C1188" s="179" t="str">
        <f>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68"/>
        <v/>
      </c>
      <c r="T1188" s="174" t="str">
        <f ca="1">IF(B1188="","",IF(ISERROR(MATCH($J1188,SorP!$B$1:$B$6279,0)),"",INDIRECT("'SorP'!$A$"&amp;MATCH($S1188&amp;$J1188,SorP!C:C,0))))</f>
        <v/>
      </c>
      <c r="U1188" s="194"/>
      <c r="V1188" s="218" t="e">
        <f>IF(C1188="",NA(),IF(OR(C1188="Smelter not listed",C1188="Smelter not yet identified"),MATCH($B1188&amp;$D1188,'Smelter Look-up'!$J:$J,0),MATCH($B1188&amp;$C1188,'Smelter Look-up'!$J:$J,0)))</f>
        <v>#N/A</v>
      </c>
      <c r="X1188" s="219">
        <f t="shared" ca="1" si="169"/>
        <v>0</v>
      </c>
      <c r="AB1188" s="220" t="str">
        <f t="shared" si="170"/>
        <v/>
      </c>
    </row>
    <row r="1189" spans="1:28" s="219" customFormat="1" ht="20.25">
      <c r="A1189" s="174"/>
      <c r="B1189" s="175" t="str">
        <f>IF(LEN(A1189)=0,"",INDEX('Smelter Look-up'!$A:$A,MATCH($A1189,'Smelter Look-up'!$E:$E,0)))</f>
        <v/>
      </c>
      <c r="C1189" s="179" t="str">
        <f>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68"/>
        <v/>
      </c>
      <c r="T1189" s="174" t="str">
        <f ca="1">IF(B1189="","",IF(ISERROR(MATCH($J1189,SorP!$B$1:$B$6279,0)),"",INDIRECT("'SorP'!$A$"&amp;MATCH($S1189&amp;$J1189,SorP!C:C,0))))</f>
        <v/>
      </c>
      <c r="U1189" s="194"/>
      <c r="V1189" s="218" t="e">
        <f>IF(C1189="",NA(),IF(OR(C1189="Smelter not listed",C1189="Smelter not yet identified"),MATCH($B1189&amp;$D1189,'Smelter Look-up'!$J:$J,0),MATCH($B1189&amp;$C1189,'Smelter Look-up'!$J:$J,0)))</f>
        <v>#N/A</v>
      </c>
      <c r="X1189" s="219">
        <f t="shared" ca="1" si="169"/>
        <v>0</v>
      </c>
      <c r="AB1189" s="220" t="str">
        <f t="shared" si="170"/>
        <v/>
      </c>
    </row>
    <row r="1190" spans="1:28" s="219" customFormat="1" ht="20.25">
      <c r="A1190" s="174"/>
      <c r="B1190" s="175" t="str">
        <f>IF(LEN(A1190)=0,"",INDEX('Smelter Look-up'!$A:$A,MATCH($A1190,'Smelter Look-up'!$E:$E,0)))</f>
        <v/>
      </c>
      <c r="C1190" s="179" t="str">
        <f>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68"/>
        <v/>
      </c>
      <c r="T1190" s="174" t="str">
        <f ca="1">IF(B1190="","",IF(ISERROR(MATCH($J1190,SorP!$B$1:$B$6279,0)),"",INDIRECT("'SorP'!$A$"&amp;MATCH($S1190&amp;$J1190,SorP!C:C,0))))</f>
        <v/>
      </c>
      <c r="U1190" s="194"/>
      <c r="V1190" s="218" t="e">
        <f>IF(C1190="",NA(),IF(OR(C1190="Smelter not listed",C1190="Smelter not yet identified"),MATCH($B1190&amp;$D1190,'Smelter Look-up'!$J:$J,0),MATCH($B1190&amp;$C1190,'Smelter Look-up'!$J:$J,0)))</f>
        <v>#N/A</v>
      </c>
      <c r="X1190" s="219">
        <f t="shared" ca="1" si="169"/>
        <v>0</v>
      </c>
      <c r="AB1190" s="220" t="str">
        <f t="shared" si="170"/>
        <v/>
      </c>
    </row>
    <row r="1191" spans="1:28" s="219" customFormat="1" ht="20.25">
      <c r="A1191" s="174"/>
      <c r="B1191" s="175" t="str">
        <f>IF(LEN(A1191)=0,"",INDEX('Smelter Look-up'!$A:$A,MATCH($A1191,'Smelter Look-up'!$E:$E,0)))</f>
        <v/>
      </c>
      <c r="C1191" s="179" t="str">
        <f>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68"/>
        <v/>
      </c>
      <c r="T1191" s="174" t="str">
        <f ca="1">IF(B1191="","",IF(ISERROR(MATCH($J1191,SorP!$B$1:$B$6279,0)),"",INDIRECT("'SorP'!$A$"&amp;MATCH($S1191&amp;$J1191,SorP!C:C,0))))</f>
        <v/>
      </c>
      <c r="U1191" s="194"/>
      <c r="V1191" s="218" t="e">
        <f>IF(C1191="",NA(),IF(OR(C1191="Smelter not listed",C1191="Smelter not yet identified"),MATCH($B1191&amp;$D1191,'Smelter Look-up'!$J:$J,0),MATCH($B1191&amp;$C1191,'Smelter Look-up'!$J:$J,0)))</f>
        <v>#N/A</v>
      </c>
      <c r="X1191" s="219">
        <f t="shared" ca="1" si="169"/>
        <v>0</v>
      </c>
      <c r="AB1191" s="220" t="str">
        <f t="shared" si="170"/>
        <v/>
      </c>
    </row>
    <row r="1192" spans="1:28" s="219" customFormat="1" ht="20.25">
      <c r="A1192" s="174"/>
      <c r="B1192" s="175" t="str">
        <f>IF(LEN(A1192)=0,"",INDEX('Smelter Look-up'!$A:$A,MATCH($A1192,'Smelter Look-up'!$E:$E,0)))</f>
        <v/>
      </c>
      <c r="C1192" s="179" t="str">
        <f>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68"/>
        <v/>
      </c>
      <c r="T1192" s="174" t="str">
        <f ca="1">IF(B1192="","",IF(ISERROR(MATCH($J1192,SorP!$B$1:$B$6279,0)),"",INDIRECT("'SorP'!$A$"&amp;MATCH($S1192&amp;$J1192,SorP!C:C,0))))</f>
        <v/>
      </c>
      <c r="U1192" s="194"/>
      <c r="V1192" s="218" t="e">
        <f>IF(C1192="",NA(),IF(OR(C1192="Smelter not listed",C1192="Smelter not yet identified"),MATCH($B1192&amp;$D1192,'Smelter Look-up'!$J:$J,0),MATCH($B1192&amp;$C1192,'Smelter Look-up'!$J:$J,0)))</f>
        <v>#N/A</v>
      </c>
      <c r="X1192" s="219">
        <f t="shared" ca="1" si="169"/>
        <v>0</v>
      </c>
      <c r="AB1192" s="220" t="str">
        <f t="shared" si="170"/>
        <v/>
      </c>
    </row>
    <row r="1193" spans="1:28" s="219" customFormat="1" ht="20.25">
      <c r="A1193" s="174"/>
      <c r="B1193" s="175" t="str">
        <f>IF(LEN(A1193)=0,"",INDEX('Smelter Look-up'!$A:$A,MATCH($A1193,'Smelter Look-up'!$E:$E,0)))</f>
        <v/>
      </c>
      <c r="C1193" s="179" t="str">
        <f>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68"/>
        <v/>
      </c>
      <c r="T1193" s="174" t="str">
        <f ca="1">IF(B1193="","",IF(ISERROR(MATCH($J1193,SorP!$B$1:$B$6279,0)),"",INDIRECT("'SorP'!$A$"&amp;MATCH($S1193&amp;$J1193,SorP!C:C,0))))</f>
        <v/>
      </c>
      <c r="U1193" s="194"/>
      <c r="V1193" s="218" t="e">
        <f>IF(C1193="",NA(),IF(OR(C1193="Smelter not listed",C1193="Smelter not yet identified"),MATCH($B1193&amp;$D1193,'Smelter Look-up'!$J:$J,0),MATCH($B1193&amp;$C1193,'Smelter Look-up'!$J:$J,0)))</f>
        <v>#N/A</v>
      </c>
      <c r="X1193" s="219">
        <f t="shared" ca="1" si="169"/>
        <v>0</v>
      </c>
      <c r="AB1193" s="220" t="str">
        <f t="shared" si="170"/>
        <v/>
      </c>
    </row>
    <row r="1194" spans="1:28" s="219" customFormat="1" ht="20.25">
      <c r="A1194" s="174"/>
      <c r="B1194" s="175" t="str">
        <f>IF(LEN(A1194)=0,"",INDEX('Smelter Look-up'!$A:$A,MATCH($A1194,'Smelter Look-up'!$E:$E,0)))</f>
        <v/>
      </c>
      <c r="C1194" s="179" t="str">
        <f>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68"/>
        <v/>
      </c>
      <c r="T1194" s="174" t="str">
        <f ca="1">IF(B1194="","",IF(ISERROR(MATCH($J1194,SorP!$B$1:$B$6279,0)),"",INDIRECT("'SorP'!$A$"&amp;MATCH($S1194&amp;$J1194,SorP!C:C,0))))</f>
        <v/>
      </c>
      <c r="U1194" s="194"/>
      <c r="V1194" s="218" t="e">
        <f>IF(C1194="",NA(),IF(OR(C1194="Smelter not listed",C1194="Smelter not yet identified"),MATCH($B1194&amp;$D1194,'Smelter Look-up'!$J:$J,0),MATCH($B1194&amp;$C1194,'Smelter Look-up'!$J:$J,0)))</f>
        <v>#N/A</v>
      </c>
      <c r="X1194" s="219">
        <f t="shared" ca="1" si="169"/>
        <v>0</v>
      </c>
      <c r="AB1194" s="220" t="str">
        <f t="shared" si="170"/>
        <v/>
      </c>
    </row>
    <row r="1195" spans="1:28" s="219" customFormat="1" ht="20.25">
      <c r="A1195" s="174"/>
      <c r="B1195" s="175" t="str">
        <f>IF(LEN(A1195)=0,"",INDEX('Smelter Look-up'!$A:$A,MATCH($A1195,'Smelter Look-up'!$E:$E,0)))</f>
        <v/>
      </c>
      <c r="C1195" s="179" t="str">
        <f>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68"/>
        <v/>
      </c>
      <c r="T1195" s="174" t="str">
        <f ca="1">IF(B1195="","",IF(ISERROR(MATCH($J1195,SorP!$B$1:$B$6279,0)),"",INDIRECT("'SorP'!$A$"&amp;MATCH($S1195&amp;$J1195,SorP!C:C,0))))</f>
        <v/>
      </c>
      <c r="U1195" s="194"/>
      <c r="V1195" s="218" t="e">
        <f>IF(C1195="",NA(),IF(OR(C1195="Smelter not listed",C1195="Smelter not yet identified"),MATCH($B1195&amp;$D1195,'Smelter Look-up'!$J:$J,0),MATCH($B1195&amp;$C1195,'Smelter Look-up'!$J:$J,0)))</f>
        <v>#N/A</v>
      </c>
      <c r="X1195" s="219">
        <f t="shared" ca="1" si="169"/>
        <v>0</v>
      </c>
      <c r="AB1195" s="220" t="str">
        <f t="shared" si="170"/>
        <v/>
      </c>
    </row>
    <row r="1196" spans="1:28" s="219" customFormat="1" ht="20.25">
      <c r="A1196" s="174"/>
      <c r="B1196" s="175" t="str">
        <f>IF(LEN(A1196)=0,"",INDEX('Smelter Look-up'!$A:$A,MATCH($A1196,'Smelter Look-up'!$E:$E,0)))</f>
        <v/>
      </c>
      <c r="C1196" s="179" t="str">
        <f>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68"/>
        <v/>
      </c>
      <c r="T1196" s="174" t="str">
        <f ca="1">IF(B1196="","",IF(ISERROR(MATCH($J1196,SorP!$B$1:$B$6279,0)),"",INDIRECT("'SorP'!$A$"&amp;MATCH($S1196&amp;$J1196,SorP!C:C,0))))</f>
        <v/>
      </c>
      <c r="U1196" s="194"/>
      <c r="V1196" s="218" t="e">
        <f>IF(C1196="",NA(),IF(OR(C1196="Smelter not listed",C1196="Smelter not yet identified"),MATCH($B1196&amp;$D1196,'Smelter Look-up'!$J:$J,0),MATCH($B1196&amp;$C1196,'Smelter Look-up'!$J:$J,0)))</f>
        <v>#N/A</v>
      </c>
      <c r="X1196" s="219">
        <f t="shared" ca="1" si="169"/>
        <v>0</v>
      </c>
      <c r="AB1196" s="220" t="str">
        <f t="shared" si="170"/>
        <v/>
      </c>
    </row>
    <row r="1197" spans="1:28" s="219" customFormat="1" ht="20.25">
      <c r="A1197" s="174"/>
      <c r="B1197" s="175" t="str">
        <f>IF(LEN(A1197)=0,"",INDEX('Smelter Look-up'!$A:$A,MATCH($A1197,'Smelter Look-up'!$E:$E,0)))</f>
        <v/>
      </c>
      <c r="C1197" s="179" t="str">
        <f>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68"/>
        <v/>
      </c>
      <c r="T1197" s="174" t="str">
        <f ca="1">IF(B1197="","",IF(ISERROR(MATCH($J1197,SorP!$B$1:$B$6279,0)),"",INDIRECT("'SorP'!$A$"&amp;MATCH($S1197&amp;$J1197,SorP!C:C,0))))</f>
        <v/>
      </c>
      <c r="U1197" s="194"/>
      <c r="V1197" s="218" t="e">
        <f>IF(C1197="",NA(),IF(OR(C1197="Smelter not listed",C1197="Smelter not yet identified"),MATCH($B1197&amp;$D1197,'Smelter Look-up'!$J:$J,0),MATCH($B1197&amp;$C1197,'Smelter Look-up'!$J:$J,0)))</f>
        <v>#N/A</v>
      </c>
      <c r="X1197" s="219">
        <f t="shared" ca="1" si="169"/>
        <v>0</v>
      </c>
      <c r="AB1197" s="220" t="str">
        <f t="shared" si="170"/>
        <v/>
      </c>
    </row>
    <row r="1198" spans="1:28" s="219" customFormat="1" ht="20.25">
      <c r="A1198" s="174"/>
      <c r="B1198" s="175" t="str">
        <f>IF(LEN(A1198)=0,"",INDEX('Smelter Look-up'!$A:$A,MATCH($A1198,'Smelter Look-up'!$E:$E,0)))</f>
        <v/>
      </c>
      <c r="C1198" s="179" t="str">
        <f>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68"/>
        <v/>
      </c>
      <c r="T1198" s="174" t="str">
        <f ca="1">IF(B1198="","",IF(ISERROR(MATCH($J1198,SorP!$B$1:$B$6279,0)),"",INDIRECT("'SorP'!$A$"&amp;MATCH($S1198&amp;$J1198,SorP!C:C,0))))</f>
        <v/>
      </c>
      <c r="U1198" s="194"/>
      <c r="V1198" s="218" t="e">
        <f>IF(C1198="",NA(),IF(OR(C1198="Smelter not listed",C1198="Smelter not yet identified"),MATCH($B1198&amp;$D1198,'Smelter Look-up'!$J:$J,0),MATCH($B1198&amp;$C1198,'Smelter Look-up'!$J:$J,0)))</f>
        <v>#N/A</v>
      </c>
      <c r="X1198" s="219">
        <f t="shared" ca="1" si="169"/>
        <v>0</v>
      </c>
      <c r="AB1198" s="220" t="str">
        <f t="shared" si="170"/>
        <v/>
      </c>
    </row>
    <row r="1199" spans="1:28" s="219" customFormat="1" ht="20.25">
      <c r="A1199" s="174"/>
      <c r="B1199" s="175" t="str">
        <f>IF(LEN(A1199)=0,"",INDEX('Smelter Look-up'!$A:$A,MATCH($A1199,'Smelter Look-up'!$E:$E,0)))</f>
        <v/>
      </c>
      <c r="C1199" s="179" t="str">
        <f>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68"/>
        <v/>
      </c>
      <c r="T1199" s="174" t="str">
        <f ca="1">IF(B1199="","",IF(ISERROR(MATCH($J1199,SorP!$B$1:$B$6279,0)),"",INDIRECT("'SorP'!$A$"&amp;MATCH($S1199&amp;$J1199,SorP!C:C,0))))</f>
        <v/>
      </c>
      <c r="U1199" s="194"/>
      <c r="V1199" s="218" t="e">
        <f>IF(C1199="",NA(),IF(OR(C1199="Smelter not listed",C1199="Smelter not yet identified"),MATCH($B1199&amp;$D1199,'Smelter Look-up'!$J:$J,0),MATCH($B1199&amp;$C1199,'Smelter Look-up'!$J:$J,0)))</f>
        <v>#N/A</v>
      </c>
      <c r="X1199" s="219">
        <f t="shared" ca="1" si="169"/>
        <v>0</v>
      </c>
      <c r="AB1199" s="220" t="str">
        <f t="shared" si="170"/>
        <v/>
      </c>
    </row>
    <row r="1200" spans="1:28" s="219" customFormat="1" ht="20.25">
      <c r="A1200" s="174"/>
      <c r="B1200" s="175" t="str">
        <f>IF(LEN(A1200)=0,"",INDEX('Smelter Look-up'!$A:$A,MATCH($A1200,'Smelter Look-up'!$E:$E,0)))</f>
        <v/>
      </c>
      <c r="C1200" s="179" t="str">
        <f>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68"/>
        <v/>
      </c>
      <c r="T1200" s="174" t="str">
        <f ca="1">IF(B1200="","",IF(ISERROR(MATCH($J1200,SorP!$B$1:$B$6279,0)),"",INDIRECT("'SorP'!$A$"&amp;MATCH($S1200&amp;$J1200,SorP!C:C,0))))</f>
        <v/>
      </c>
      <c r="U1200" s="194"/>
      <c r="V1200" s="218" t="e">
        <f>IF(C1200="",NA(),IF(OR(C1200="Smelter not listed",C1200="Smelter not yet identified"),MATCH($B1200&amp;$D1200,'Smelter Look-up'!$J:$J,0),MATCH($B1200&amp;$C1200,'Smelter Look-up'!$J:$J,0)))</f>
        <v>#N/A</v>
      </c>
      <c r="X1200" s="219">
        <f t="shared" ca="1" si="169"/>
        <v>0</v>
      </c>
      <c r="AB1200" s="220" t="str">
        <f t="shared" si="170"/>
        <v/>
      </c>
    </row>
    <row r="1201" spans="1:28" s="219" customFormat="1" ht="20.25">
      <c r="A1201" s="174"/>
      <c r="B1201" s="175" t="str">
        <f>IF(LEN(A1201)=0,"",INDEX('Smelter Look-up'!$A:$A,MATCH($A1201,'Smelter Look-up'!$E:$E,0)))</f>
        <v/>
      </c>
      <c r="C1201" s="179" t="str">
        <f>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68"/>
        <v/>
      </c>
      <c r="T1201" s="174" t="str">
        <f ca="1">IF(B1201="","",IF(ISERROR(MATCH($J1201,SorP!$B$1:$B$6279,0)),"",INDIRECT("'SorP'!$A$"&amp;MATCH($S1201&amp;$J1201,SorP!C:C,0))))</f>
        <v/>
      </c>
      <c r="U1201" s="194"/>
      <c r="V1201" s="218" t="e">
        <f>IF(C1201="",NA(),IF(OR(C1201="Smelter not listed",C1201="Smelter not yet identified"),MATCH($B1201&amp;$D1201,'Smelter Look-up'!$J:$J,0),MATCH($B1201&amp;$C1201,'Smelter Look-up'!$J:$J,0)))</f>
        <v>#N/A</v>
      </c>
      <c r="X1201" s="219">
        <f t="shared" ca="1" si="169"/>
        <v>0</v>
      </c>
      <c r="AB1201" s="220" t="str">
        <f t="shared" si="170"/>
        <v/>
      </c>
    </row>
    <row r="1202" spans="1:28" s="219" customFormat="1" ht="20.25">
      <c r="A1202" s="174"/>
      <c r="B1202" s="175" t="str">
        <f>IF(LEN(A1202)=0,"",INDEX('Smelter Look-up'!$A:$A,MATCH($A1202,'Smelter Look-up'!$E:$E,0)))</f>
        <v/>
      </c>
      <c r="C1202" s="179" t="str">
        <f>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68"/>
        <v/>
      </c>
      <c r="T1202" s="174" t="str">
        <f ca="1">IF(B1202="","",IF(ISERROR(MATCH($J1202,SorP!$B$1:$B$6279,0)),"",INDIRECT("'SorP'!$A$"&amp;MATCH($S1202&amp;$J1202,SorP!C:C,0))))</f>
        <v/>
      </c>
      <c r="U1202" s="194"/>
      <c r="V1202" s="218" t="e">
        <f>IF(C1202="",NA(),IF(OR(C1202="Smelter not listed",C1202="Smelter not yet identified"),MATCH($B1202&amp;$D1202,'Smelter Look-up'!$J:$J,0),MATCH($B1202&amp;$C1202,'Smelter Look-up'!$J:$J,0)))</f>
        <v>#N/A</v>
      </c>
      <c r="X1202" s="219">
        <f t="shared" ca="1" si="169"/>
        <v>0</v>
      </c>
      <c r="AB1202" s="220" t="str">
        <f t="shared" si="170"/>
        <v/>
      </c>
    </row>
    <row r="1203" spans="1:28" s="219" customFormat="1" ht="20.25">
      <c r="A1203" s="174"/>
      <c r="B1203" s="175" t="str">
        <f>IF(LEN(A1203)=0,"",INDEX('Smelter Look-up'!$A:$A,MATCH($A1203,'Smelter Look-up'!$E:$E,0)))</f>
        <v/>
      </c>
      <c r="C1203" s="179" t="str">
        <f>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68"/>
        <v/>
      </c>
      <c r="T1203" s="174" t="str">
        <f ca="1">IF(B1203="","",IF(ISERROR(MATCH($J1203,SorP!$B$1:$B$6279,0)),"",INDIRECT("'SorP'!$A$"&amp;MATCH($S1203&amp;$J1203,SorP!C:C,0))))</f>
        <v/>
      </c>
      <c r="U1203" s="194"/>
      <c r="V1203" s="218" t="e">
        <f>IF(C1203="",NA(),IF(OR(C1203="Smelter not listed",C1203="Smelter not yet identified"),MATCH($B1203&amp;$D1203,'Smelter Look-up'!$J:$J,0),MATCH($B1203&amp;$C1203,'Smelter Look-up'!$J:$J,0)))</f>
        <v>#N/A</v>
      </c>
      <c r="X1203" s="219">
        <f t="shared" ca="1" si="169"/>
        <v>0</v>
      </c>
      <c r="AB1203" s="220" t="str">
        <f t="shared" si="170"/>
        <v/>
      </c>
    </row>
    <row r="1204" spans="1:28" s="219" customFormat="1" ht="20.25">
      <c r="A1204" s="174"/>
      <c r="B1204" s="175" t="str">
        <f>IF(LEN(A1204)=0,"",INDEX('Smelter Look-up'!$A:$A,MATCH($A1204,'Smelter Look-up'!$E:$E,0)))</f>
        <v/>
      </c>
      <c r="C1204" s="179" t="str">
        <f>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68"/>
        <v/>
      </c>
      <c r="T1204" s="174" t="str">
        <f ca="1">IF(B1204="","",IF(ISERROR(MATCH($J1204,SorP!$B$1:$B$6279,0)),"",INDIRECT("'SorP'!$A$"&amp;MATCH($S1204&amp;$J1204,SorP!C:C,0))))</f>
        <v/>
      </c>
      <c r="U1204" s="194"/>
      <c r="V1204" s="218" t="e">
        <f>IF(C1204="",NA(),IF(OR(C1204="Smelter not listed",C1204="Smelter not yet identified"),MATCH($B1204&amp;$D1204,'Smelter Look-up'!$J:$J,0),MATCH($B1204&amp;$C1204,'Smelter Look-up'!$J:$J,0)))</f>
        <v>#N/A</v>
      </c>
      <c r="X1204" s="219">
        <f t="shared" ca="1" si="169"/>
        <v>0</v>
      </c>
      <c r="AB1204" s="220" t="str">
        <f t="shared" si="170"/>
        <v/>
      </c>
    </row>
    <row r="1205" spans="1:28" s="219" customFormat="1" ht="20.25">
      <c r="A1205" s="174"/>
      <c r="B1205" s="175" t="str">
        <f>IF(LEN(A1205)=0,"",INDEX('Smelter Look-up'!$A:$A,MATCH($A1205,'Smelter Look-up'!$E:$E,0)))</f>
        <v/>
      </c>
      <c r="C1205" s="179" t="str">
        <f>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68"/>
        <v/>
      </c>
      <c r="T1205" s="174" t="str">
        <f ca="1">IF(B1205="","",IF(ISERROR(MATCH($J1205,SorP!$B$1:$B$6279,0)),"",INDIRECT("'SorP'!$A$"&amp;MATCH($S1205&amp;$J1205,SorP!C:C,0))))</f>
        <v/>
      </c>
      <c r="U1205" s="194"/>
      <c r="V1205" s="218" t="e">
        <f>IF(C1205="",NA(),IF(OR(C1205="Smelter not listed",C1205="Smelter not yet identified"),MATCH($B1205&amp;$D1205,'Smelter Look-up'!$J:$J,0),MATCH($B1205&amp;$C1205,'Smelter Look-up'!$J:$J,0)))</f>
        <v>#N/A</v>
      </c>
      <c r="X1205" s="219">
        <f t="shared" ca="1" si="169"/>
        <v>0</v>
      </c>
      <c r="AB1205" s="220" t="str">
        <f t="shared" si="170"/>
        <v/>
      </c>
    </row>
    <row r="1206" spans="1:28" s="219" customFormat="1" ht="20.25">
      <c r="A1206" s="174"/>
      <c r="B1206" s="175" t="str">
        <f>IF(LEN(A1206)=0,"",INDEX('Smelter Look-up'!$A:$A,MATCH($A1206,'Smelter Look-up'!$E:$E,0)))</f>
        <v/>
      </c>
      <c r="C1206" s="179" t="str">
        <f>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68"/>
        <v/>
      </c>
      <c r="T1206" s="174" t="str">
        <f ca="1">IF(B1206="","",IF(ISERROR(MATCH($J1206,SorP!$B$1:$B$6279,0)),"",INDIRECT("'SorP'!$A$"&amp;MATCH($S1206&amp;$J1206,SorP!C:C,0))))</f>
        <v/>
      </c>
      <c r="U1206" s="194"/>
      <c r="V1206" s="218" t="e">
        <f>IF(C1206="",NA(),IF(OR(C1206="Smelter not listed",C1206="Smelter not yet identified"),MATCH($B1206&amp;$D1206,'Smelter Look-up'!$J:$J,0),MATCH($B1206&amp;$C1206,'Smelter Look-up'!$J:$J,0)))</f>
        <v>#N/A</v>
      </c>
      <c r="X1206" s="219">
        <f t="shared" ca="1" si="169"/>
        <v>0</v>
      </c>
      <c r="AB1206" s="220" t="str">
        <f t="shared" si="170"/>
        <v/>
      </c>
    </row>
    <row r="1207" spans="1:28" s="219" customFormat="1" ht="20.25">
      <c r="A1207" s="174"/>
      <c r="B1207" s="175" t="str">
        <f>IF(LEN(A1207)=0,"",INDEX('Smelter Look-up'!$A:$A,MATCH($A1207,'Smelter Look-up'!$E:$E,0)))</f>
        <v/>
      </c>
      <c r="C1207" s="179" t="str">
        <f>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68"/>
        <v/>
      </c>
      <c r="T1207" s="174" t="str">
        <f ca="1">IF(B1207="","",IF(ISERROR(MATCH($J1207,SorP!$B$1:$B$6279,0)),"",INDIRECT("'SorP'!$A$"&amp;MATCH($S1207&amp;$J1207,SorP!C:C,0))))</f>
        <v/>
      </c>
      <c r="U1207" s="194"/>
      <c r="V1207" s="218" t="e">
        <f>IF(C1207="",NA(),IF(OR(C1207="Smelter not listed",C1207="Smelter not yet identified"),MATCH($B1207&amp;$D1207,'Smelter Look-up'!$J:$J,0),MATCH($B1207&amp;$C1207,'Smelter Look-up'!$J:$J,0)))</f>
        <v>#N/A</v>
      </c>
      <c r="X1207" s="219">
        <f t="shared" ca="1" si="169"/>
        <v>0</v>
      </c>
      <c r="AB1207" s="220" t="str">
        <f t="shared" si="170"/>
        <v/>
      </c>
    </row>
    <row r="1208" spans="1:28" s="219" customFormat="1" ht="20.25">
      <c r="A1208" s="174"/>
      <c r="B1208" s="175" t="str">
        <f>IF(LEN(A1208)=0,"",INDEX('Smelter Look-up'!$A:$A,MATCH($A1208,'Smelter Look-up'!$E:$E,0)))</f>
        <v/>
      </c>
      <c r="C1208" s="179" t="str">
        <f>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68"/>
        <v/>
      </c>
      <c r="T1208" s="174" t="str">
        <f ca="1">IF(B1208="","",IF(ISERROR(MATCH($J1208,SorP!$B$1:$B$6279,0)),"",INDIRECT("'SorP'!$A$"&amp;MATCH($S1208&amp;$J1208,SorP!C:C,0))))</f>
        <v/>
      </c>
      <c r="U1208" s="194"/>
      <c r="V1208" s="218" t="e">
        <f>IF(C1208="",NA(),IF(OR(C1208="Smelter not listed",C1208="Smelter not yet identified"),MATCH($B1208&amp;$D1208,'Smelter Look-up'!$J:$J,0),MATCH($B1208&amp;$C1208,'Smelter Look-up'!$J:$J,0)))</f>
        <v>#N/A</v>
      </c>
      <c r="X1208" s="219">
        <f t="shared" ca="1" si="169"/>
        <v>0</v>
      </c>
      <c r="AB1208" s="220" t="str">
        <f t="shared" si="170"/>
        <v/>
      </c>
    </row>
    <row r="1209" spans="1:28" s="219" customFormat="1" ht="20.25">
      <c r="A1209" s="174"/>
      <c r="B1209" s="175" t="str">
        <f>IF(LEN(A1209)=0,"",INDEX('Smelter Look-up'!$A:$A,MATCH($A1209,'Smelter Look-up'!$E:$E,0)))</f>
        <v/>
      </c>
      <c r="C1209" s="179" t="str">
        <f>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168"/>
        <v/>
      </c>
      <c r="T1209" s="174" t="str">
        <f ca="1">IF(B1209="","",IF(ISERROR(MATCH($J1209,SorP!$B$1:$B$6279,0)),"",INDIRECT("'SorP'!$A$"&amp;MATCH($S1209&amp;$J1209,SorP!C:C,0))))</f>
        <v/>
      </c>
      <c r="U1209" s="194"/>
      <c r="V1209" s="218" t="e">
        <f>IF(C1209="",NA(),IF(OR(C1209="Smelter not listed",C1209="Smelter not yet identified"),MATCH($B1209&amp;$D1209,'Smelter Look-up'!$J:$J,0),MATCH($B1209&amp;$C1209,'Smelter Look-up'!$J:$J,0)))</f>
        <v>#N/A</v>
      </c>
      <c r="X1209" s="219">
        <f t="shared" ca="1" si="169"/>
        <v>0</v>
      </c>
      <c r="AB1209" s="220" t="str">
        <f t="shared" si="170"/>
        <v/>
      </c>
    </row>
    <row r="1210" spans="1:28" s="219" customFormat="1" ht="20.25">
      <c r="A1210" s="174"/>
      <c r="B1210" s="175" t="str">
        <f>IF(LEN(A1210)=0,"",INDEX('Smelter Look-up'!$A:$A,MATCH($A1210,'Smelter Look-up'!$E:$E,0)))</f>
        <v/>
      </c>
      <c r="C1210" s="179" t="str">
        <f>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ca="1" si="168"/>
        <v/>
      </c>
      <c r="T1210" s="174" t="str">
        <f ca="1">IF(B1210="","",IF(ISERROR(MATCH($J1210,SorP!$B$1:$B$6279,0)),"",INDIRECT("'SorP'!$A$"&amp;MATCH($S1210&amp;$J1210,SorP!C:C,0))))</f>
        <v/>
      </c>
      <c r="U1210" s="194"/>
      <c r="V1210" s="218" t="e">
        <f>IF(C1210="",NA(),IF(OR(C1210="Smelter not listed",C1210="Smelter not yet identified"),MATCH($B1210&amp;$D1210,'Smelter Look-up'!$J:$J,0),MATCH($B1210&amp;$C1210,'Smelter Look-up'!$J:$J,0)))</f>
        <v>#N/A</v>
      </c>
      <c r="X1210" s="219">
        <f t="shared" ca="1" si="169"/>
        <v>0</v>
      </c>
      <c r="AB1210" s="220" t="str">
        <f t="shared" si="170"/>
        <v/>
      </c>
    </row>
    <row r="1211" spans="1:28" s="219" customFormat="1" ht="20.25">
      <c r="A1211" s="174"/>
      <c r="B1211" s="175" t="str">
        <f>IF(LEN(A1211)=0,"",INDEX('Smelter Look-up'!$A:$A,MATCH($A1211,'Smelter Look-up'!$E:$E,0)))</f>
        <v/>
      </c>
      <c r="C1211" s="179" t="str">
        <f>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ref="S1211" ca="1" si="171">IF(B1211="","",IF(ISERROR(MATCH($E1211,CL,0)),"Unknown",INDIRECT("'C'!$A$"&amp;MATCH($E1211,CL,0)+1)))</f>
        <v/>
      </c>
      <c r="T1211" s="174" t="str">
        <f ca="1">IF(B1211="","",IF(ISERROR(MATCH($J1211,SorP!$B$1:$B$6279,0)),"",INDIRECT("'SorP'!$A$"&amp;MATCH($S1211&amp;$J1211,SorP!C:C,0))))</f>
        <v/>
      </c>
      <c r="U1211" s="194"/>
      <c r="V1211" s="218" t="e">
        <f>IF(C1211="",NA(),IF(OR(C1211="Smelter not listed",C1211="Smelter not yet identified"),MATCH($B1211&amp;$D1211,'Smelter Look-up'!$J:$J,0),MATCH($B1211&amp;$C1211,'Smelter Look-up'!$J:$J,0)))</f>
        <v>#N/A</v>
      </c>
      <c r="X1211" s="219">
        <f t="shared" ref="X1211" ca="1" si="172">IF(AND(C1211="Smelter not listed",OR(LEN(D1211)=0,LEN(E1211)=0)),1,0)</f>
        <v>0</v>
      </c>
      <c r="AB1211" s="220" t="str">
        <f t="shared" ref="AB1211" si="173">B1211&amp;C1211</f>
        <v/>
      </c>
    </row>
    <row r="1212" spans="1:28" s="219" customFormat="1" ht="20.25">
      <c r="A1212" s="174"/>
      <c r="B1212" s="175" t="str">
        <f>IF(LEN(A1212)=0,"",INDEX('Smelter Look-up'!$A:$A,MATCH($A1212,'Smelter Look-up'!$E:$E,0)))</f>
        <v/>
      </c>
      <c r="C1212" s="179" t="str">
        <f>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ref="S1212:S1243" ca="1" si="174">IF(B1212="","",IF(ISERROR(MATCH($E1212,CL,0)),"Unknown",INDIRECT("'C'!$A$"&amp;MATCH($E1212,CL,0)+1)))</f>
        <v/>
      </c>
      <c r="T1212" s="174" t="str">
        <f ca="1">IF(B1212="","",IF(ISERROR(MATCH($J1212,SorP!$B$1:$B$6279,0)),"",INDIRECT("'SorP'!$A$"&amp;MATCH($S1212&amp;$J1212,SorP!C:C,0))))</f>
        <v/>
      </c>
      <c r="U1212" s="194"/>
      <c r="V1212" s="218" t="e">
        <f>IF(C1212="",NA(),IF(OR(C1212="Smelter not listed",C1212="Smelter not yet identified"),MATCH($B1212&amp;$D1212,'Smelter Look-up'!$J:$J,0),MATCH($B1212&amp;$C1212,'Smelter Look-up'!$J:$J,0)))</f>
        <v>#N/A</v>
      </c>
      <c r="X1212" s="219">
        <f t="shared" ref="X1212:X1243" ca="1" si="175">IF(AND(C1212="Smelter not listed",OR(LEN(D1212)=0,LEN(E1212)=0)),1,0)</f>
        <v>0</v>
      </c>
      <c r="AB1212" s="220" t="str">
        <f t="shared" ref="AB1212:AB1243" si="176">B1212&amp;C1212</f>
        <v/>
      </c>
    </row>
    <row r="1213" spans="1:28" s="219" customFormat="1" ht="20.25">
      <c r="A1213" s="174"/>
      <c r="B1213" s="175" t="str">
        <f>IF(LEN(A1213)=0,"",INDEX('Smelter Look-up'!$A:$A,MATCH($A1213,'Smelter Look-up'!$E:$E,0)))</f>
        <v/>
      </c>
      <c r="C1213" s="179" t="str">
        <f>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74"/>
        <v/>
      </c>
      <c r="T1213" s="174" t="str">
        <f ca="1">IF(B1213="","",IF(ISERROR(MATCH($J1213,SorP!$B$1:$B$6279,0)),"",INDIRECT("'SorP'!$A$"&amp;MATCH($S1213&amp;$J1213,SorP!C:C,0))))</f>
        <v/>
      </c>
      <c r="U1213" s="194"/>
      <c r="V1213" s="218" t="e">
        <f>IF(C1213="",NA(),IF(OR(C1213="Smelter not listed",C1213="Smelter not yet identified"),MATCH($B1213&amp;$D1213,'Smelter Look-up'!$J:$J,0),MATCH($B1213&amp;$C1213,'Smelter Look-up'!$J:$J,0)))</f>
        <v>#N/A</v>
      </c>
      <c r="X1213" s="219">
        <f t="shared" ca="1" si="175"/>
        <v>0</v>
      </c>
      <c r="AB1213" s="220" t="str">
        <f t="shared" si="176"/>
        <v/>
      </c>
    </row>
    <row r="1214" spans="1:28" s="219" customFormat="1" ht="20.25">
      <c r="A1214" s="174"/>
      <c r="B1214" s="175" t="str">
        <f>IF(LEN(A1214)=0,"",INDEX('Smelter Look-up'!$A:$A,MATCH($A1214,'Smelter Look-up'!$E:$E,0)))</f>
        <v/>
      </c>
      <c r="C1214" s="179" t="str">
        <f>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74"/>
        <v/>
      </c>
      <c r="T1214" s="174" t="str">
        <f ca="1">IF(B1214="","",IF(ISERROR(MATCH($J1214,SorP!$B$1:$B$6279,0)),"",INDIRECT("'SorP'!$A$"&amp;MATCH($S1214&amp;$J1214,SorP!C:C,0))))</f>
        <v/>
      </c>
      <c r="U1214" s="194"/>
      <c r="V1214" s="218" t="e">
        <f>IF(C1214="",NA(),IF(OR(C1214="Smelter not listed",C1214="Smelter not yet identified"),MATCH($B1214&amp;$D1214,'Smelter Look-up'!$J:$J,0),MATCH($B1214&amp;$C1214,'Smelter Look-up'!$J:$J,0)))</f>
        <v>#N/A</v>
      </c>
      <c r="X1214" s="219">
        <f t="shared" ca="1" si="175"/>
        <v>0</v>
      </c>
      <c r="AB1214" s="220" t="str">
        <f t="shared" si="176"/>
        <v/>
      </c>
    </row>
    <row r="1215" spans="1:28" s="219" customFormat="1" ht="20.25">
      <c r="A1215" s="174"/>
      <c r="B1215" s="175" t="str">
        <f>IF(LEN(A1215)=0,"",INDEX('Smelter Look-up'!$A:$A,MATCH($A1215,'Smelter Look-up'!$E:$E,0)))</f>
        <v/>
      </c>
      <c r="C1215" s="179" t="str">
        <f>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74"/>
        <v/>
      </c>
      <c r="T1215" s="174" t="str">
        <f ca="1">IF(B1215="","",IF(ISERROR(MATCH($J1215,SorP!$B$1:$B$6279,0)),"",INDIRECT("'SorP'!$A$"&amp;MATCH($S1215&amp;$J1215,SorP!C:C,0))))</f>
        <v/>
      </c>
      <c r="U1215" s="194"/>
      <c r="V1215" s="218" t="e">
        <f>IF(C1215="",NA(),IF(OR(C1215="Smelter not listed",C1215="Smelter not yet identified"),MATCH($B1215&amp;$D1215,'Smelter Look-up'!$J:$J,0),MATCH($B1215&amp;$C1215,'Smelter Look-up'!$J:$J,0)))</f>
        <v>#N/A</v>
      </c>
      <c r="X1215" s="219">
        <f t="shared" ca="1" si="175"/>
        <v>0</v>
      </c>
      <c r="AB1215" s="220" t="str">
        <f t="shared" si="176"/>
        <v/>
      </c>
    </row>
    <row r="1216" spans="1:28" s="219" customFormat="1" ht="20.25">
      <c r="A1216" s="174"/>
      <c r="B1216" s="175" t="str">
        <f>IF(LEN(A1216)=0,"",INDEX('Smelter Look-up'!$A:$A,MATCH($A1216,'Smelter Look-up'!$E:$E,0)))</f>
        <v/>
      </c>
      <c r="C1216" s="179" t="str">
        <f>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74"/>
        <v/>
      </c>
      <c r="T1216" s="174" t="str">
        <f ca="1">IF(B1216="","",IF(ISERROR(MATCH($J1216,SorP!$B$1:$B$6279,0)),"",INDIRECT("'SorP'!$A$"&amp;MATCH($S1216&amp;$J1216,SorP!C:C,0))))</f>
        <v/>
      </c>
      <c r="U1216" s="194"/>
      <c r="V1216" s="218" t="e">
        <f>IF(C1216="",NA(),IF(OR(C1216="Smelter not listed",C1216="Smelter not yet identified"),MATCH($B1216&amp;$D1216,'Smelter Look-up'!$J:$J,0),MATCH($B1216&amp;$C1216,'Smelter Look-up'!$J:$J,0)))</f>
        <v>#N/A</v>
      </c>
      <c r="X1216" s="219">
        <f t="shared" ca="1" si="175"/>
        <v>0</v>
      </c>
      <c r="AB1216" s="220" t="str">
        <f t="shared" si="176"/>
        <v/>
      </c>
    </row>
    <row r="1217" spans="1:28" s="219" customFormat="1" ht="20.25">
      <c r="A1217" s="174"/>
      <c r="B1217" s="175" t="str">
        <f>IF(LEN(A1217)=0,"",INDEX('Smelter Look-up'!$A:$A,MATCH($A1217,'Smelter Look-up'!$E:$E,0)))</f>
        <v/>
      </c>
      <c r="C1217" s="179" t="str">
        <f>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74"/>
        <v/>
      </c>
      <c r="T1217" s="174" t="str">
        <f ca="1">IF(B1217="","",IF(ISERROR(MATCH($J1217,SorP!$B$1:$B$6279,0)),"",INDIRECT("'SorP'!$A$"&amp;MATCH($S1217&amp;$J1217,SorP!C:C,0))))</f>
        <v/>
      </c>
      <c r="U1217" s="194"/>
      <c r="V1217" s="218" t="e">
        <f>IF(C1217="",NA(),IF(OR(C1217="Smelter not listed",C1217="Smelter not yet identified"),MATCH($B1217&amp;$D1217,'Smelter Look-up'!$J:$J,0),MATCH($B1217&amp;$C1217,'Smelter Look-up'!$J:$J,0)))</f>
        <v>#N/A</v>
      </c>
      <c r="X1217" s="219">
        <f t="shared" ca="1" si="175"/>
        <v>0</v>
      </c>
      <c r="AB1217" s="220" t="str">
        <f t="shared" si="176"/>
        <v/>
      </c>
    </row>
    <row r="1218" spans="1:28" s="219" customFormat="1" ht="20.25">
      <c r="A1218" s="174"/>
      <c r="B1218" s="175" t="str">
        <f>IF(LEN(A1218)=0,"",INDEX('Smelter Look-up'!$A:$A,MATCH($A1218,'Smelter Look-up'!$E:$E,0)))</f>
        <v/>
      </c>
      <c r="C1218" s="179" t="str">
        <f>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74"/>
        <v/>
      </c>
      <c r="T1218" s="174" t="str">
        <f ca="1">IF(B1218="","",IF(ISERROR(MATCH($J1218,SorP!$B$1:$B$6279,0)),"",INDIRECT("'SorP'!$A$"&amp;MATCH($S1218&amp;$J1218,SorP!C:C,0))))</f>
        <v/>
      </c>
      <c r="U1218" s="194"/>
      <c r="V1218" s="218" t="e">
        <f>IF(C1218="",NA(),IF(OR(C1218="Smelter not listed",C1218="Smelter not yet identified"),MATCH($B1218&amp;$D1218,'Smelter Look-up'!$J:$J,0),MATCH($B1218&amp;$C1218,'Smelter Look-up'!$J:$J,0)))</f>
        <v>#N/A</v>
      </c>
      <c r="X1218" s="219">
        <f t="shared" ca="1" si="175"/>
        <v>0</v>
      </c>
      <c r="AB1218" s="220" t="str">
        <f t="shared" si="176"/>
        <v/>
      </c>
    </row>
    <row r="1219" spans="1:28" s="219" customFormat="1" ht="20.25">
      <c r="A1219" s="174"/>
      <c r="B1219" s="175" t="str">
        <f>IF(LEN(A1219)=0,"",INDEX('Smelter Look-up'!$A:$A,MATCH($A1219,'Smelter Look-up'!$E:$E,0)))</f>
        <v/>
      </c>
      <c r="C1219" s="179" t="str">
        <f>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74"/>
        <v/>
      </c>
      <c r="T1219" s="174" t="str">
        <f ca="1">IF(B1219="","",IF(ISERROR(MATCH($J1219,SorP!$B$1:$B$6279,0)),"",INDIRECT("'SorP'!$A$"&amp;MATCH($S1219&amp;$J1219,SorP!C:C,0))))</f>
        <v/>
      </c>
      <c r="U1219" s="194"/>
      <c r="V1219" s="218" t="e">
        <f>IF(C1219="",NA(),IF(OR(C1219="Smelter not listed",C1219="Smelter not yet identified"),MATCH($B1219&amp;$D1219,'Smelter Look-up'!$J:$J,0),MATCH($B1219&amp;$C1219,'Smelter Look-up'!$J:$J,0)))</f>
        <v>#N/A</v>
      </c>
      <c r="X1219" s="219">
        <f t="shared" ca="1" si="175"/>
        <v>0</v>
      </c>
      <c r="AB1219" s="220" t="str">
        <f t="shared" si="176"/>
        <v/>
      </c>
    </row>
    <row r="1220" spans="1:28" s="219" customFormat="1" ht="20.25">
      <c r="A1220" s="174"/>
      <c r="B1220" s="175" t="str">
        <f>IF(LEN(A1220)=0,"",INDEX('Smelter Look-up'!$A:$A,MATCH($A1220,'Smelter Look-up'!$E:$E,0)))</f>
        <v/>
      </c>
      <c r="C1220" s="179" t="str">
        <f>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74"/>
        <v/>
      </c>
      <c r="T1220" s="174" t="str">
        <f ca="1">IF(B1220="","",IF(ISERROR(MATCH($J1220,SorP!$B$1:$B$6279,0)),"",INDIRECT("'SorP'!$A$"&amp;MATCH($S1220&amp;$J1220,SorP!C:C,0))))</f>
        <v/>
      </c>
      <c r="U1220" s="194"/>
      <c r="V1220" s="218" t="e">
        <f>IF(C1220="",NA(),IF(OR(C1220="Smelter not listed",C1220="Smelter not yet identified"),MATCH($B1220&amp;$D1220,'Smelter Look-up'!$J:$J,0),MATCH($B1220&amp;$C1220,'Smelter Look-up'!$J:$J,0)))</f>
        <v>#N/A</v>
      </c>
      <c r="X1220" s="219">
        <f t="shared" ca="1" si="175"/>
        <v>0</v>
      </c>
      <c r="AB1220" s="220" t="str">
        <f t="shared" si="176"/>
        <v/>
      </c>
    </row>
    <row r="1221" spans="1:28" s="219" customFormat="1" ht="20.25">
      <c r="A1221" s="174"/>
      <c r="B1221" s="175" t="str">
        <f>IF(LEN(A1221)=0,"",INDEX('Smelter Look-up'!$A:$A,MATCH($A1221,'Smelter Look-up'!$E:$E,0)))</f>
        <v/>
      </c>
      <c r="C1221" s="179" t="str">
        <f>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74"/>
        <v/>
      </c>
      <c r="T1221" s="174" t="str">
        <f ca="1">IF(B1221="","",IF(ISERROR(MATCH($J1221,SorP!$B$1:$B$6279,0)),"",INDIRECT("'SorP'!$A$"&amp;MATCH($S1221&amp;$J1221,SorP!C:C,0))))</f>
        <v/>
      </c>
      <c r="U1221" s="194"/>
      <c r="V1221" s="218" t="e">
        <f>IF(C1221="",NA(),IF(OR(C1221="Smelter not listed",C1221="Smelter not yet identified"),MATCH($B1221&amp;$D1221,'Smelter Look-up'!$J:$J,0),MATCH($B1221&amp;$C1221,'Smelter Look-up'!$J:$J,0)))</f>
        <v>#N/A</v>
      </c>
      <c r="X1221" s="219">
        <f t="shared" ca="1" si="175"/>
        <v>0</v>
      </c>
      <c r="AB1221" s="220" t="str">
        <f t="shared" si="176"/>
        <v/>
      </c>
    </row>
    <row r="1222" spans="1:28" s="219" customFormat="1" ht="20.25">
      <c r="A1222" s="174"/>
      <c r="B1222" s="175" t="str">
        <f>IF(LEN(A1222)=0,"",INDEX('Smelter Look-up'!$A:$A,MATCH($A1222,'Smelter Look-up'!$E:$E,0)))</f>
        <v/>
      </c>
      <c r="C1222" s="179" t="str">
        <f>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74"/>
        <v/>
      </c>
      <c r="T1222" s="174" t="str">
        <f ca="1">IF(B1222="","",IF(ISERROR(MATCH($J1222,SorP!$B$1:$B$6279,0)),"",INDIRECT("'SorP'!$A$"&amp;MATCH($S1222&amp;$J1222,SorP!C:C,0))))</f>
        <v/>
      </c>
      <c r="U1222" s="194"/>
      <c r="V1222" s="218" t="e">
        <f>IF(C1222="",NA(),IF(OR(C1222="Smelter not listed",C1222="Smelter not yet identified"),MATCH($B1222&amp;$D1222,'Smelter Look-up'!$J:$J,0),MATCH($B1222&amp;$C1222,'Smelter Look-up'!$J:$J,0)))</f>
        <v>#N/A</v>
      </c>
      <c r="X1222" s="219">
        <f t="shared" ca="1" si="175"/>
        <v>0</v>
      </c>
      <c r="AB1222" s="220" t="str">
        <f t="shared" si="176"/>
        <v/>
      </c>
    </row>
    <row r="1223" spans="1:28" s="219" customFormat="1" ht="20.25">
      <c r="A1223" s="174"/>
      <c r="B1223" s="175" t="str">
        <f>IF(LEN(A1223)=0,"",INDEX('Smelter Look-up'!$A:$A,MATCH($A1223,'Smelter Look-up'!$E:$E,0)))</f>
        <v/>
      </c>
      <c r="C1223" s="179" t="str">
        <f>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74"/>
        <v/>
      </c>
      <c r="T1223" s="174" t="str">
        <f ca="1">IF(B1223="","",IF(ISERROR(MATCH($J1223,SorP!$B$1:$B$6279,0)),"",INDIRECT("'SorP'!$A$"&amp;MATCH($S1223&amp;$J1223,SorP!C:C,0))))</f>
        <v/>
      </c>
      <c r="U1223" s="194"/>
      <c r="V1223" s="218" t="e">
        <f>IF(C1223="",NA(),IF(OR(C1223="Smelter not listed",C1223="Smelter not yet identified"),MATCH($B1223&amp;$D1223,'Smelter Look-up'!$J:$J,0),MATCH($B1223&amp;$C1223,'Smelter Look-up'!$J:$J,0)))</f>
        <v>#N/A</v>
      </c>
      <c r="X1223" s="219">
        <f t="shared" ca="1" si="175"/>
        <v>0</v>
      </c>
      <c r="AB1223" s="220" t="str">
        <f t="shared" si="176"/>
        <v/>
      </c>
    </row>
    <row r="1224" spans="1:28" s="219" customFormat="1" ht="20.25">
      <c r="A1224" s="174"/>
      <c r="B1224" s="175" t="str">
        <f>IF(LEN(A1224)=0,"",INDEX('Smelter Look-up'!$A:$A,MATCH($A1224,'Smelter Look-up'!$E:$E,0)))</f>
        <v/>
      </c>
      <c r="C1224" s="179" t="str">
        <f>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74"/>
        <v/>
      </c>
      <c r="T1224" s="174" t="str">
        <f ca="1">IF(B1224="","",IF(ISERROR(MATCH($J1224,SorP!$B$1:$B$6279,0)),"",INDIRECT("'SorP'!$A$"&amp;MATCH($S1224&amp;$J1224,SorP!C:C,0))))</f>
        <v/>
      </c>
      <c r="U1224" s="194"/>
      <c r="V1224" s="218" t="e">
        <f>IF(C1224="",NA(),IF(OR(C1224="Smelter not listed",C1224="Smelter not yet identified"),MATCH($B1224&amp;$D1224,'Smelter Look-up'!$J:$J,0),MATCH($B1224&amp;$C1224,'Smelter Look-up'!$J:$J,0)))</f>
        <v>#N/A</v>
      </c>
      <c r="X1224" s="219">
        <f t="shared" ca="1" si="175"/>
        <v>0</v>
      </c>
      <c r="AB1224" s="220" t="str">
        <f t="shared" si="176"/>
        <v/>
      </c>
    </row>
    <row r="1225" spans="1:28" s="219" customFormat="1" ht="20.25">
      <c r="A1225" s="174"/>
      <c r="B1225" s="175" t="str">
        <f>IF(LEN(A1225)=0,"",INDEX('Smelter Look-up'!$A:$A,MATCH($A1225,'Smelter Look-up'!$E:$E,0)))</f>
        <v/>
      </c>
      <c r="C1225" s="179" t="str">
        <f>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74"/>
        <v/>
      </c>
      <c r="T1225" s="174" t="str">
        <f ca="1">IF(B1225="","",IF(ISERROR(MATCH($J1225,SorP!$B$1:$B$6279,0)),"",INDIRECT("'SorP'!$A$"&amp;MATCH($S1225&amp;$J1225,SorP!C:C,0))))</f>
        <v/>
      </c>
      <c r="U1225" s="194"/>
      <c r="V1225" s="218" t="e">
        <f>IF(C1225="",NA(),IF(OR(C1225="Smelter not listed",C1225="Smelter not yet identified"),MATCH($B1225&amp;$D1225,'Smelter Look-up'!$J:$J,0),MATCH($B1225&amp;$C1225,'Smelter Look-up'!$J:$J,0)))</f>
        <v>#N/A</v>
      </c>
      <c r="X1225" s="219">
        <f t="shared" ca="1" si="175"/>
        <v>0</v>
      </c>
      <c r="AB1225" s="220" t="str">
        <f t="shared" si="176"/>
        <v/>
      </c>
    </row>
    <row r="1226" spans="1:28" s="219" customFormat="1" ht="20.25">
      <c r="A1226" s="174"/>
      <c r="B1226" s="175" t="str">
        <f>IF(LEN(A1226)=0,"",INDEX('Smelter Look-up'!$A:$A,MATCH($A1226,'Smelter Look-up'!$E:$E,0)))</f>
        <v/>
      </c>
      <c r="C1226" s="179" t="str">
        <f>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74"/>
        <v/>
      </c>
      <c r="T1226" s="174" t="str">
        <f ca="1">IF(B1226="","",IF(ISERROR(MATCH($J1226,SorP!$B$1:$B$6279,0)),"",INDIRECT("'SorP'!$A$"&amp;MATCH($S1226&amp;$J1226,SorP!C:C,0))))</f>
        <v/>
      </c>
      <c r="U1226" s="194"/>
      <c r="V1226" s="218" t="e">
        <f>IF(C1226="",NA(),IF(OR(C1226="Smelter not listed",C1226="Smelter not yet identified"),MATCH($B1226&amp;$D1226,'Smelter Look-up'!$J:$J,0),MATCH($B1226&amp;$C1226,'Smelter Look-up'!$J:$J,0)))</f>
        <v>#N/A</v>
      </c>
      <c r="X1226" s="219">
        <f t="shared" ca="1" si="175"/>
        <v>0</v>
      </c>
      <c r="AB1226" s="220" t="str">
        <f t="shared" si="176"/>
        <v/>
      </c>
    </row>
    <row r="1227" spans="1:28" s="219" customFormat="1" ht="20.25">
      <c r="A1227" s="174"/>
      <c r="B1227" s="175" t="str">
        <f>IF(LEN(A1227)=0,"",INDEX('Smelter Look-up'!$A:$A,MATCH($A1227,'Smelter Look-up'!$E:$E,0)))</f>
        <v/>
      </c>
      <c r="C1227" s="179" t="str">
        <f>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74"/>
        <v/>
      </c>
      <c r="T1227" s="174" t="str">
        <f ca="1">IF(B1227="","",IF(ISERROR(MATCH($J1227,SorP!$B$1:$B$6279,0)),"",INDIRECT("'SorP'!$A$"&amp;MATCH($S1227&amp;$J1227,SorP!C:C,0))))</f>
        <v/>
      </c>
      <c r="U1227" s="194"/>
      <c r="V1227" s="218" t="e">
        <f>IF(C1227="",NA(),IF(OR(C1227="Smelter not listed",C1227="Smelter not yet identified"),MATCH($B1227&amp;$D1227,'Smelter Look-up'!$J:$J,0),MATCH($B1227&amp;$C1227,'Smelter Look-up'!$J:$J,0)))</f>
        <v>#N/A</v>
      </c>
      <c r="X1227" s="219">
        <f t="shared" ca="1" si="175"/>
        <v>0</v>
      </c>
      <c r="AB1227" s="220" t="str">
        <f t="shared" si="176"/>
        <v/>
      </c>
    </row>
    <row r="1228" spans="1:28" s="219" customFormat="1" ht="20.25">
      <c r="A1228" s="174"/>
      <c r="B1228" s="175" t="str">
        <f>IF(LEN(A1228)=0,"",INDEX('Smelter Look-up'!$A:$A,MATCH($A1228,'Smelter Look-up'!$E:$E,0)))</f>
        <v/>
      </c>
      <c r="C1228" s="179" t="str">
        <f>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74"/>
        <v/>
      </c>
      <c r="T1228" s="174" t="str">
        <f ca="1">IF(B1228="","",IF(ISERROR(MATCH($J1228,SorP!$B$1:$B$6279,0)),"",INDIRECT("'SorP'!$A$"&amp;MATCH($S1228&amp;$J1228,SorP!C:C,0))))</f>
        <v/>
      </c>
      <c r="U1228" s="194"/>
      <c r="V1228" s="218" t="e">
        <f>IF(C1228="",NA(),IF(OR(C1228="Smelter not listed",C1228="Smelter not yet identified"),MATCH($B1228&amp;$D1228,'Smelter Look-up'!$J:$J,0),MATCH($B1228&amp;$C1228,'Smelter Look-up'!$J:$J,0)))</f>
        <v>#N/A</v>
      </c>
      <c r="X1228" s="219">
        <f t="shared" ca="1" si="175"/>
        <v>0</v>
      </c>
      <c r="AB1228" s="220" t="str">
        <f t="shared" si="176"/>
        <v/>
      </c>
    </row>
    <row r="1229" spans="1:28" s="219" customFormat="1" ht="20.25">
      <c r="A1229" s="174"/>
      <c r="B1229" s="175" t="str">
        <f>IF(LEN(A1229)=0,"",INDEX('Smelter Look-up'!$A:$A,MATCH($A1229,'Smelter Look-up'!$E:$E,0)))</f>
        <v/>
      </c>
      <c r="C1229" s="179" t="str">
        <f>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74"/>
        <v/>
      </c>
      <c r="T1229" s="174" t="str">
        <f ca="1">IF(B1229="","",IF(ISERROR(MATCH($J1229,SorP!$B$1:$B$6279,0)),"",INDIRECT("'SorP'!$A$"&amp;MATCH($S1229&amp;$J1229,SorP!C:C,0))))</f>
        <v/>
      </c>
      <c r="U1229" s="194"/>
      <c r="V1229" s="218" t="e">
        <f>IF(C1229="",NA(),IF(OR(C1229="Smelter not listed",C1229="Smelter not yet identified"),MATCH($B1229&amp;$D1229,'Smelter Look-up'!$J:$J,0),MATCH($B1229&amp;$C1229,'Smelter Look-up'!$J:$J,0)))</f>
        <v>#N/A</v>
      </c>
      <c r="X1229" s="219">
        <f t="shared" ca="1" si="175"/>
        <v>0</v>
      </c>
      <c r="AB1229" s="220" t="str">
        <f t="shared" si="176"/>
        <v/>
      </c>
    </row>
    <row r="1230" spans="1:28" s="219" customFormat="1" ht="20.25">
      <c r="A1230" s="174"/>
      <c r="B1230" s="175" t="str">
        <f>IF(LEN(A1230)=0,"",INDEX('Smelter Look-up'!$A:$A,MATCH($A1230,'Smelter Look-up'!$E:$E,0)))</f>
        <v/>
      </c>
      <c r="C1230" s="179" t="str">
        <f>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74"/>
        <v/>
      </c>
      <c r="T1230" s="174" t="str">
        <f ca="1">IF(B1230="","",IF(ISERROR(MATCH($J1230,SorP!$B$1:$B$6279,0)),"",INDIRECT("'SorP'!$A$"&amp;MATCH($S1230&amp;$J1230,SorP!C:C,0))))</f>
        <v/>
      </c>
      <c r="U1230" s="194"/>
      <c r="V1230" s="218" t="e">
        <f>IF(C1230="",NA(),IF(OR(C1230="Smelter not listed",C1230="Smelter not yet identified"),MATCH($B1230&amp;$D1230,'Smelter Look-up'!$J:$J,0),MATCH($B1230&amp;$C1230,'Smelter Look-up'!$J:$J,0)))</f>
        <v>#N/A</v>
      </c>
      <c r="X1230" s="219">
        <f t="shared" ca="1" si="175"/>
        <v>0</v>
      </c>
      <c r="AB1230" s="220" t="str">
        <f t="shared" si="176"/>
        <v/>
      </c>
    </row>
    <row r="1231" spans="1:28" s="219" customFormat="1" ht="20.25">
      <c r="A1231" s="174"/>
      <c r="B1231" s="175" t="str">
        <f>IF(LEN(A1231)=0,"",INDEX('Smelter Look-up'!$A:$A,MATCH($A1231,'Smelter Look-up'!$E:$E,0)))</f>
        <v/>
      </c>
      <c r="C1231" s="179" t="str">
        <f>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74"/>
        <v/>
      </c>
      <c r="T1231" s="174" t="str">
        <f ca="1">IF(B1231="","",IF(ISERROR(MATCH($J1231,SorP!$B$1:$B$6279,0)),"",INDIRECT("'SorP'!$A$"&amp;MATCH($S1231&amp;$J1231,SorP!C:C,0))))</f>
        <v/>
      </c>
      <c r="U1231" s="194"/>
      <c r="V1231" s="218" t="e">
        <f>IF(C1231="",NA(),IF(OR(C1231="Smelter not listed",C1231="Smelter not yet identified"),MATCH($B1231&amp;$D1231,'Smelter Look-up'!$J:$J,0),MATCH($B1231&amp;$C1231,'Smelter Look-up'!$J:$J,0)))</f>
        <v>#N/A</v>
      </c>
      <c r="X1231" s="219">
        <f t="shared" ca="1" si="175"/>
        <v>0</v>
      </c>
      <c r="AB1231" s="220" t="str">
        <f t="shared" si="176"/>
        <v/>
      </c>
    </row>
    <row r="1232" spans="1:28" s="219" customFormat="1" ht="20.25">
      <c r="A1232" s="174"/>
      <c r="B1232" s="175" t="str">
        <f>IF(LEN(A1232)=0,"",INDEX('Smelter Look-up'!$A:$A,MATCH($A1232,'Smelter Look-up'!$E:$E,0)))</f>
        <v/>
      </c>
      <c r="C1232" s="179" t="str">
        <f>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74"/>
        <v/>
      </c>
      <c r="T1232" s="174" t="str">
        <f ca="1">IF(B1232="","",IF(ISERROR(MATCH($J1232,SorP!$B$1:$B$6279,0)),"",INDIRECT("'SorP'!$A$"&amp;MATCH($S1232&amp;$J1232,SorP!C:C,0))))</f>
        <v/>
      </c>
      <c r="U1232" s="194"/>
      <c r="V1232" s="218" t="e">
        <f>IF(C1232="",NA(),IF(OR(C1232="Smelter not listed",C1232="Smelter not yet identified"),MATCH($B1232&amp;$D1232,'Smelter Look-up'!$J:$J,0),MATCH($B1232&amp;$C1232,'Smelter Look-up'!$J:$J,0)))</f>
        <v>#N/A</v>
      </c>
      <c r="X1232" s="219">
        <f t="shared" ca="1" si="175"/>
        <v>0</v>
      </c>
      <c r="AB1232" s="220" t="str">
        <f t="shared" si="176"/>
        <v/>
      </c>
    </row>
    <row r="1233" spans="1:28" s="219" customFormat="1" ht="20.25">
      <c r="A1233" s="174"/>
      <c r="B1233" s="175" t="str">
        <f>IF(LEN(A1233)=0,"",INDEX('Smelter Look-up'!$A:$A,MATCH($A1233,'Smelter Look-up'!$E:$E,0)))</f>
        <v/>
      </c>
      <c r="C1233" s="179" t="str">
        <f>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74"/>
        <v/>
      </c>
      <c r="T1233" s="174" t="str">
        <f ca="1">IF(B1233="","",IF(ISERROR(MATCH($J1233,SorP!$B$1:$B$6279,0)),"",INDIRECT("'SorP'!$A$"&amp;MATCH($S1233&amp;$J1233,SorP!C:C,0))))</f>
        <v/>
      </c>
      <c r="U1233" s="194"/>
      <c r="V1233" s="218" t="e">
        <f>IF(C1233="",NA(),IF(OR(C1233="Smelter not listed",C1233="Smelter not yet identified"),MATCH($B1233&amp;$D1233,'Smelter Look-up'!$J:$J,0),MATCH($B1233&amp;$C1233,'Smelter Look-up'!$J:$J,0)))</f>
        <v>#N/A</v>
      </c>
      <c r="X1233" s="219">
        <f t="shared" ca="1" si="175"/>
        <v>0</v>
      </c>
      <c r="AB1233" s="220" t="str">
        <f t="shared" si="176"/>
        <v/>
      </c>
    </row>
    <row r="1234" spans="1:28" s="219" customFormat="1" ht="20.25">
      <c r="A1234" s="174"/>
      <c r="B1234" s="175" t="str">
        <f>IF(LEN(A1234)=0,"",INDEX('Smelter Look-up'!$A:$A,MATCH($A1234,'Smelter Look-up'!$E:$E,0)))</f>
        <v/>
      </c>
      <c r="C1234" s="179" t="str">
        <f>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74"/>
        <v/>
      </c>
      <c r="T1234" s="174" t="str">
        <f ca="1">IF(B1234="","",IF(ISERROR(MATCH($J1234,SorP!$B$1:$B$6279,0)),"",INDIRECT("'SorP'!$A$"&amp;MATCH($S1234&amp;$J1234,SorP!C:C,0))))</f>
        <v/>
      </c>
      <c r="U1234" s="194"/>
      <c r="V1234" s="218" t="e">
        <f>IF(C1234="",NA(),IF(OR(C1234="Smelter not listed",C1234="Smelter not yet identified"),MATCH($B1234&amp;$D1234,'Smelter Look-up'!$J:$J,0),MATCH($B1234&amp;$C1234,'Smelter Look-up'!$J:$J,0)))</f>
        <v>#N/A</v>
      </c>
      <c r="X1234" s="219">
        <f t="shared" ca="1" si="175"/>
        <v>0</v>
      </c>
      <c r="AB1234" s="220" t="str">
        <f t="shared" si="176"/>
        <v/>
      </c>
    </row>
    <row r="1235" spans="1:28" s="219" customFormat="1" ht="20.25">
      <c r="A1235" s="174"/>
      <c r="B1235" s="175" t="str">
        <f>IF(LEN(A1235)=0,"",INDEX('Smelter Look-up'!$A:$A,MATCH($A1235,'Smelter Look-up'!$E:$E,0)))</f>
        <v/>
      </c>
      <c r="C1235" s="179" t="str">
        <f>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74"/>
        <v/>
      </c>
      <c r="T1235" s="174" t="str">
        <f ca="1">IF(B1235="","",IF(ISERROR(MATCH($J1235,SorP!$B$1:$B$6279,0)),"",INDIRECT("'SorP'!$A$"&amp;MATCH($S1235&amp;$J1235,SorP!C:C,0))))</f>
        <v/>
      </c>
      <c r="U1235" s="194"/>
      <c r="V1235" s="218" t="e">
        <f>IF(C1235="",NA(),IF(OR(C1235="Smelter not listed",C1235="Smelter not yet identified"),MATCH($B1235&amp;$D1235,'Smelter Look-up'!$J:$J,0),MATCH($B1235&amp;$C1235,'Smelter Look-up'!$J:$J,0)))</f>
        <v>#N/A</v>
      </c>
      <c r="X1235" s="219">
        <f t="shared" ca="1" si="175"/>
        <v>0</v>
      </c>
      <c r="AB1235" s="220" t="str">
        <f t="shared" si="176"/>
        <v/>
      </c>
    </row>
    <row r="1236" spans="1:28" s="219" customFormat="1" ht="20.25">
      <c r="A1236" s="174"/>
      <c r="B1236" s="175" t="str">
        <f>IF(LEN(A1236)=0,"",INDEX('Smelter Look-up'!$A:$A,MATCH($A1236,'Smelter Look-up'!$E:$E,0)))</f>
        <v/>
      </c>
      <c r="C1236" s="179" t="str">
        <f>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74"/>
        <v/>
      </c>
      <c r="T1236" s="174" t="str">
        <f ca="1">IF(B1236="","",IF(ISERROR(MATCH($J1236,SorP!$B$1:$B$6279,0)),"",INDIRECT("'SorP'!$A$"&amp;MATCH($S1236&amp;$J1236,SorP!C:C,0))))</f>
        <v/>
      </c>
      <c r="U1236" s="194"/>
      <c r="V1236" s="218" t="e">
        <f>IF(C1236="",NA(),IF(OR(C1236="Smelter not listed",C1236="Smelter not yet identified"),MATCH($B1236&amp;$D1236,'Smelter Look-up'!$J:$J,0),MATCH($B1236&amp;$C1236,'Smelter Look-up'!$J:$J,0)))</f>
        <v>#N/A</v>
      </c>
      <c r="X1236" s="219">
        <f t="shared" ca="1" si="175"/>
        <v>0</v>
      </c>
      <c r="AB1236" s="220" t="str">
        <f t="shared" si="176"/>
        <v/>
      </c>
    </row>
    <row r="1237" spans="1:28" s="219" customFormat="1" ht="20.25">
      <c r="A1237" s="174"/>
      <c r="B1237" s="175" t="str">
        <f>IF(LEN(A1237)=0,"",INDEX('Smelter Look-up'!$A:$A,MATCH($A1237,'Smelter Look-up'!$E:$E,0)))</f>
        <v/>
      </c>
      <c r="C1237" s="179" t="str">
        <f>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74"/>
        <v/>
      </c>
      <c r="T1237" s="174" t="str">
        <f ca="1">IF(B1237="","",IF(ISERROR(MATCH($J1237,SorP!$B$1:$B$6279,0)),"",INDIRECT("'SorP'!$A$"&amp;MATCH($S1237&amp;$J1237,SorP!C:C,0))))</f>
        <v/>
      </c>
      <c r="U1237" s="194"/>
      <c r="V1237" s="218" t="e">
        <f>IF(C1237="",NA(),IF(OR(C1237="Smelter not listed",C1237="Smelter not yet identified"),MATCH($B1237&amp;$D1237,'Smelter Look-up'!$J:$J,0),MATCH($B1237&amp;$C1237,'Smelter Look-up'!$J:$J,0)))</f>
        <v>#N/A</v>
      </c>
      <c r="X1237" s="219">
        <f t="shared" ca="1" si="175"/>
        <v>0</v>
      </c>
      <c r="AB1237" s="220" t="str">
        <f t="shared" si="176"/>
        <v/>
      </c>
    </row>
    <row r="1238" spans="1:28" s="219" customFormat="1" ht="20.25">
      <c r="A1238" s="174"/>
      <c r="B1238" s="175" t="str">
        <f>IF(LEN(A1238)=0,"",INDEX('Smelter Look-up'!$A:$A,MATCH($A1238,'Smelter Look-up'!$E:$E,0)))</f>
        <v/>
      </c>
      <c r="C1238" s="179" t="str">
        <f>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74"/>
        <v/>
      </c>
      <c r="T1238" s="174" t="str">
        <f ca="1">IF(B1238="","",IF(ISERROR(MATCH($J1238,SorP!$B$1:$B$6279,0)),"",INDIRECT("'SorP'!$A$"&amp;MATCH($S1238&amp;$J1238,SorP!C:C,0))))</f>
        <v/>
      </c>
      <c r="U1238" s="194"/>
      <c r="V1238" s="218" t="e">
        <f>IF(C1238="",NA(),IF(OR(C1238="Smelter not listed",C1238="Smelter not yet identified"),MATCH($B1238&amp;$D1238,'Smelter Look-up'!$J:$J,0),MATCH($B1238&amp;$C1238,'Smelter Look-up'!$J:$J,0)))</f>
        <v>#N/A</v>
      </c>
      <c r="X1238" s="219">
        <f t="shared" ca="1" si="175"/>
        <v>0</v>
      </c>
      <c r="AB1238" s="220" t="str">
        <f t="shared" si="176"/>
        <v/>
      </c>
    </row>
    <row r="1239" spans="1:28" s="219" customFormat="1" ht="20.25">
      <c r="A1239" s="174"/>
      <c r="B1239" s="175" t="str">
        <f>IF(LEN(A1239)=0,"",INDEX('Smelter Look-up'!$A:$A,MATCH($A1239,'Smelter Look-up'!$E:$E,0)))</f>
        <v/>
      </c>
      <c r="C1239" s="179" t="str">
        <f>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74"/>
        <v/>
      </c>
      <c r="T1239" s="174" t="str">
        <f ca="1">IF(B1239="","",IF(ISERROR(MATCH($J1239,SorP!$B$1:$B$6279,0)),"",INDIRECT("'SorP'!$A$"&amp;MATCH($S1239&amp;$J1239,SorP!C:C,0))))</f>
        <v/>
      </c>
      <c r="U1239" s="194"/>
      <c r="V1239" s="218" t="e">
        <f>IF(C1239="",NA(),IF(OR(C1239="Smelter not listed",C1239="Smelter not yet identified"),MATCH($B1239&amp;$D1239,'Smelter Look-up'!$J:$J,0),MATCH($B1239&amp;$C1239,'Smelter Look-up'!$J:$J,0)))</f>
        <v>#N/A</v>
      </c>
      <c r="X1239" s="219">
        <f t="shared" ca="1" si="175"/>
        <v>0</v>
      </c>
      <c r="AB1239" s="220" t="str">
        <f t="shared" si="176"/>
        <v/>
      </c>
    </row>
    <row r="1240" spans="1:28" s="219" customFormat="1" ht="20.25">
      <c r="A1240" s="174"/>
      <c r="B1240" s="175" t="str">
        <f>IF(LEN(A1240)=0,"",INDEX('Smelter Look-up'!$A:$A,MATCH($A1240,'Smelter Look-up'!$E:$E,0)))</f>
        <v/>
      </c>
      <c r="C1240" s="179" t="str">
        <f>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74"/>
        <v/>
      </c>
      <c r="T1240" s="174" t="str">
        <f ca="1">IF(B1240="","",IF(ISERROR(MATCH($J1240,SorP!$B$1:$B$6279,0)),"",INDIRECT("'SorP'!$A$"&amp;MATCH($S1240&amp;$J1240,SorP!C:C,0))))</f>
        <v/>
      </c>
      <c r="U1240" s="194"/>
      <c r="V1240" s="218" t="e">
        <f>IF(C1240="",NA(),IF(OR(C1240="Smelter not listed",C1240="Smelter not yet identified"),MATCH($B1240&amp;$D1240,'Smelter Look-up'!$J:$J,0),MATCH($B1240&amp;$C1240,'Smelter Look-up'!$J:$J,0)))</f>
        <v>#N/A</v>
      </c>
      <c r="X1240" s="219">
        <f t="shared" ca="1" si="175"/>
        <v>0</v>
      </c>
      <c r="AB1240" s="220" t="str">
        <f t="shared" si="176"/>
        <v/>
      </c>
    </row>
    <row r="1241" spans="1:28" s="219" customFormat="1" ht="20.25">
      <c r="A1241" s="174"/>
      <c r="B1241" s="175" t="str">
        <f>IF(LEN(A1241)=0,"",INDEX('Smelter Look-up'!$A:$A,MATCH($A1241,'Smelter Look-up'!$E:$E,0)))</f>
        <v/>
      </c>
      <c r="C1241" s="179" t="str">
        <f>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74"/>
        <v/>
      </c>
      <c r="T1241" s="174" t="str">
        <f ca="1">IF(B1241="","",IF(ISERROR(MATCH($J1241,SorP!$B$1:$B$6279,0)),"",INDIRECT("'SorP'!$A$"&amp;MATCH($S1241&amp;$J1241,SorP!C:C,0))))</f>
        <v/>
      </c>
      <c r="U1241" s="194"/>
      <c r="V1241" s="218" t="e">
        <f>IF(C1241="",NA(),IF(OR(C1241="Smelter not listed",C1241="Smelter not yet identified"),MATCH($B1241&amp;$D1241,'Smelter Look-up'!$J:$J,0),MATCH($B1241&amp;$C1241,'Smelter Look-up'!$J:$J,0)))</f>
        <v>#N/A</v>
      </c>
      <c r="X1241" s="219">
        <f t="shared" ca="1" si="175"/>
        <v>0</v>
      </c>
      <c r="AB1241" s="220" t="str">
        <f t="shared" si="176"/>
        <v/>
      </c>
    </row>
    <row r="1242" spans="1:28" s="219" customFormat="1" ht="20.25">
      <c r="A1242" s="174"/>
      <c r="B1242" s="175" t="str">
        <f>IF(LEN(A1242)=0,"",INDEX('Smelter Look-up'!$A:$A,MATCH($A1242,'Smelter Look-up'!$E:$E,0)))</f>
        <v/>
      </c>
      <c r="C1242" s="179" t="str">
        <f>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174"/>
        <v/>
      </c>
      <c r="T1242" s="174" t="str">
        <f ca="1">IF(B1242="","",IF(ISERROR(MATCH($J1242,SorP!$B$1:$B$6279,0)),"",INDIRECT("'SorP'!$A$"&amp;MATCH($S1242&amp;$J1242,SorP!C:C,0))))</f>
        <v/>
      </c>
      <c r="U1242" s="194"/>
      <c r="V1242" s="218" t="e">
        <f>IF(C1242="",NA(),IF(OR(C1242="Smelter not listed",C1242="Smelter not yet identified"),MATCH($B1242&amp;$D1242,'Smelter Look-up'!$J:$J,0),MATCH($B1242&amp;$C1242,'Smelter Look-up'!$J:$J,0)))</f>
        <v>#N/A</v>
      </c>
      <c r="X1242" s="219">
        <f t="shared" ca="1" si="175"/>
        <v>0</v>
      </c>
      <c r="AB1242" s="220" t="str">
        <f t="shared" si="176"/>
        <v/>
      </c>
    </row>
    <row r="1243" spans="1:28" s="219" customFormat="1" ht="20.25">
      <c r="A1243" s="174"/>
      <c r="B1243" s="175" t="str">
        <f>IF(LEN(A1243)=0,"",INDEX('Smelter Look-up'!$A:$A,MATCH($A1243,'Smelter Look-up'!$E:$E,0)))</f>
        <v/>
      </c>
      <c r="C1243" s="179" t="str">
        <f>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174"/>
        <v/>
      </c>
      <c r="T1243" s="174" t="str">
        <f ca="1">IF(B1243="","",IF(ISERROR(MATCH($J1243,SorP!$B$1:$B$6279,0)),"",INDIRECT("'SorP'!$A$"&amp;MATCH($S1243&amp;$J1243,SorP!C:C,0))))</f>
        <v/>
      </c>
      <c r="U1243" s="194"/>
      <c r="V1243" s="218" t="e">
        <f>IF(C1243="",NA(),IF(OR(C1243="Smelter not listed",C1243="Smelter not yet identified"),MATCH($B1243&amp;$D1243,'Smelter Look-up'!$J:$J,0),MATCH($B1243&amp;$C1243,'Smelter Look-up'!$J:$J,0)))</f>
        <v>#N/A</v>
      </c>
      <c r="X1243" s="219">
        <f t="shared" ca="1" si="175"/>
        <v>0</v>
      </c>
      <c r="AB1243" s="220" t="str">
        <f t="shared" si="176"/>
        <v/>
      </c>
    </row>
    <row r="1244" spans="1:28" s="219" customFormat="1" ht="20.25">
      <c r="A1244" s="174"/>
      <c r="B1244" s="175" t="str">
        <f>IF(LEN(A1244)=0,"",INDEX('Smelter Look-up'!$A:$A,MATCH($A1244,'Smelter Look-up'!$E:$E,0)))</f>
        <v/>
      </c>
      <c r="C1244" s="179" t="str">
        <f>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ref="S1244:S1274" ca="1" si="177">IF(B1244="","",IF(ISERROR(MATCH($E1244,CL,0)),"Unknown",INDIRECT("'C'!$A$"&amp;MATCH($E1244,CL,0)+1)))</f>
        <v/>
      </c>
      <c r="T1244" s="174" t="str">
        <f ca="1">IF(B1244="","",IF(ISERROR(MATCH($J1244,SorP!$B$1:$B$6279,0)),"",INDIRECT("'SorP'!$A$"&amp;MATCH($S1244&amp;$J1244,SorP!C:C,0))))</f>
        <v/>
      </c>
      <c r="U1244" s="194"/>
      <c r="V1244" s="218" t="e">
        <f>IF(C1244="",NA(),IF(OR(C1244="Smelter not listed",C1244="Smelter not yet identified"),MATCH($B1244&amp;$D1244,'Smelter Look-up'!$J:$J,0),MATCH($B1244&amp;$C1244,'Smelter Look-up'!$J:$J,0)))</f>
        <v>#N/A</v>
      </c>
      <c r="X1244" s="219">
        <f t="shared" ref="X1244:X1274" ca="1" si="178">IF(AND(C1244="Smelter not listed",OR(LEN(D1244)=0,LEN(E1244)=0)),1,0)</f>
        <v>0</v>
      </c>
      <c r="AB1244" s="220" t="str">
        <f t="shared" ref="AB1244:AB1274" si="179">B1244&amp;C1244</f>
        <v/>
      </c>
    </row>
    <row r="1245" spans="1:28" s="219" customFormat="1" ht="20.25">
      <c r="A1245" s="174"/>
      <c r="B1245" s="175" t="str">
        <f>IF(LEN(A1245)=0,"",INDEX('Smelter Look-up'!$A:$A,MATCH($A1245,'Smelter Look-up'!$E:$E,0)))</f>
        <v/>
      </c>
      <c r="C1245" s="179" t="str">
        <f>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77"/>
        <v/>
      </c>
      <c r="T1245" s="174" t="str">
        <f ca="1">IF(B1245="","",IF(ISERROR(MATCH($J1245,SorP!$B$1:$B$6279,0)),"",INDIRECT("'SorP'!$A$"&amp;MATCH($S1245&amp;$J1245,SorP!C:C,0))))</f>
        <v/>
      </c>
      <c r="U1245" s="194"/>
      <c r="V1245" s="218" t="e">
        <f>IF(C1245="",NA(),IF(OR(C1245="Smelter not listed",C1245="Smelter not yet identified"),MATCH($B1245&amp;$D1245,'Smelter Look-up'!$J:$J,0),MATCH($B1245&amp;$C1245,'Smelter Look-up'!$J:$J,0)))</f>
        <v>#N/A</v>
      </c>
      <c r="X1245" s="219">
        <f t="shared" ca="1" si="178"/>
        <v>0</v>
      </c>
      <c r="AB1245" s="220" t="str">
        <f t="shared" si="179"/>
        <v/>
      </c>
    </row>
    <row r="1246" spans="1:28" s="219" customFormat="1" ht="20.25">
      <c r="A1246" s="174"/>
      <c r="B1246" s="175" t="str">
        <f>IF(LEN(A1246)=0,"",INDEX('Smelter Look-up'!$A:$A,MATCH($A1246,'Smelter Look-up'!$E:$E,0)))</f>
        <v/>
      </c>
      <c r="C1246" s="179" t="str">
        <f>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77"/>
        <v/>
      </c>
      <c r="T1246" s="174" t="str">
        <f ca="1">IF(B1246="","",IF(ISERROR(MATCH($J1246,SorP!$B$1:$B$6279,0)),"",INDIRECT("'SorP'!$A$"&amp;MATCH($S1246&amp;$J1246,SorP!C:C,0))))</f>
        <v/>
      </c>
      <c r="U1246" s="194"/>
      <c r="V1246" s="218" t="e">
        <f>IF(C1246="",NA(),IF(OR(C1246="Smelter not listed",C1246="Smelter not yet identified"),MATCH($B1246&amp;$D1246,'Smelter Look-up'!$J:$J,0),MATCH($B1246&amp;$C1246,'Smelter Look-up'!$J:$J,0)))</f>
        <v>#N/A</v>
      </c>
      <c r="X1246" s="219">
        <f t="shared" ca="1" si="178"/>
        <v>0</v>
      </c>
      <c r="AB1246" s="220" t="str">
        <f t="shared" si="179"/>
        <v/>
      </c>
    </row>
    <row r="1247" spans="1:28" s="219" customFormat="1" ht="20.25">
      <c r="A1247" s="174"/>
      <c r="B1247" s="175" t="str">
        <f>IF(LEN(A1247)=0,"",INDEX('Smelter Look-up'!$A:$A,MATCH($A1247,'Smelter Look-up'!$E:$E,0)))</f>
        <v/>
      </c>
      <c r="C1247" s="179" t="str">
        <f>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77"/>
        <v/>
      </c>
      <c r="T1247" s="174" t="str">
        <f ca="1">IF(B1247="","",IF(ISERROR(MATCH($J1247,SorP!$B$1:$B$6279,0)),"",INDIRECT("'SorP'!$A$"&amp;MATCH($S1247&amp;$J1247,SorP!C:C,0))))</f>
        <v/>
      </c>
      <c r="U1247" s="194"/>
      <c r="V1247" s="218" t="e">
        <f>IF(C1247="",NA(),IF(OR(C1247="Smelter not listed",C1247="Smelter not yet identified"),MATCH($B1247&amp;$D1247,'Smelter Look-up'!$J:$J,0),MATCH($B1247&amp;$C1247,'Smelter Look-up'!$J:$J,0)))</f>
        <v>#N/A</v>
      </c>
      <c r="X1247" s="219">
        <f t="shared" ca="1" si="178"/>
        <v>0</v>
      </c>
      <c r="AB1247" s="220" t="str">
        <f t="shared" si="179"/>
        <v/>
      </c>
    </row>
    <row r="1248" spans="1:28" s="219" customFormat="1" ht="20.25">
      <c r="A1248" s="174"/>
      <c r="B1248" s="175" t="str">
        <f>IF(LEN(A1248)=0,"",INDEX('Smelter Look-up'!$A:$A,MATCH($A1248,'Smelter Look-up'!$E:$E,0)))</f>
        <v/>
      </c>
      <c r="C1248" s="179" t="str">
        <f>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77"/>
        <v/>
      </c>
      <c r="T1248" s="174" t="str">
        <f ca="1">IF(B1248="","",IF(ISERROR(MATCH($J1248,SorP!$B$1:$B$6279,0)),"",INDIRECT("'SorP'!$A$"&amp;MATCH($S1248&amp;$J1248,SorP!C:C,0))))</f>
        <v/>
      </c>
      <c r="U1248" s="194"/>
      <c r="V1248" s="218" t="e">
        <f>IF(C1248="",NA(),IF(OR(C1248="Smelter not listed",C1248="Smelter not yet identified"),MATCH($B1248&amp;$D1248,'Smelter Look-up'!$J:$J,0),MATCH($B1248&amp;$C1248,'Smelter Look-up'!$J:$J,0)))</f>
        <v>#N/A</v>
      </c>
      <c r="X1248" s="219">
        <f t="shared" ca="1" si="178"/>
        <v>0</v>
      </c>
      <c r="AB1248" s="220" t="str">
        <f t="shared" si="179"/>
        <v/>
      </c>
    </row>
    <row r="1249" spans="1:28" s="219" customFormat="1" ht="20.25">
      <c r="A1249" s="174"/>
      <c r="B1249" s="175" t="str">
        <f>IF(LEN(A1249)=0,"",INDEX('Smelter Look-up'!$A:$A,MATCH($A1249,'Smelter Look-up'!$E:$E,0)))</f>
        <v/>
      </c>
      <c r="C1249" s="179" t="str">
        <f>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77"/>
        <v/>
      </c>
      <c r="T1249" s="174" t="str">
        <f ca="1">IF(B1249="","",IF(ISERROR(MATCH($J1249,SorP!$B$1:$B$6279,0)),"",INDIRECT("'SorP'!$A$"&amp;MATCH($S1249&amp;$J1249,SorP!C:C,0))))</f>
        <v/>
      </c>
      <c r="U1249" s="194"/>
      <c r="V1249" s="218" t="e">
        <f>IF(C1249="",NA(),IF(OR(C1249="Smelter not listed",C1249="Smelter not yet identified"),MATCH($B1249&amp;$D1249,'Smelter Look-up'!$J:$J,0),MATCH($B1249&amp;$C1249,'Smelter Look-up'!$J:$J,0)))</f>
        <v>#N/A</v>
      </c>
      <c r="X1249" s="219">
        <f t="shared" ca="1" si="178"/>
        <v>0</v>
      </c>
      <c r="AB1249" s="220" t="str">
        <f t="shared" si="179"/>
        <v/>
      </c>
    </row>
    <row r="1250" spans="1:28" s="219" customFormat="1" ht="20.25">
      <c r="A1250" s="174"/>
      <c r="B1250" s="175" t="str">
        <f>IF(LEN(A1250)=0,"",INDEX('Smelter Look-up'!$A:$A,MATCH($A1250,'Smelter Look-up'!$E:$E,0)))</f>
        <v/>
      </c>
      <c r="C1250" s="179" t="str">
        <f>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77"/>
        <v/>
      </c>
      <c r="T1250" s="174" t="str">
        <f ca="1">IF(B1250="","",IF(ISERROR(MATCH($J1250,SorP!$B$1:$B$6279,0)),"",INDIRECT("'SorP'!$A$"&amp;MATCH($S1250&amp;$J1250,SorP!C:C,0))))</f>
        <v/>
      </c>
      <c r="U1250" s="194"/>
      <c r="V1250" s="218" t="e">
        <f>IF(C1250="",NA(),IF(OR(C1250="Smelter not listed",C1250="Smelter not yet identified"),MATCH($B1250&amp;$D1250,'Smelter Look-up'!$J:$J,0),MATCH($B1250&amp;$C1250,'Smelter Look-up'!$J:$J,0)))</f>
        <v>#N/A</v>
      </c>
      <c r="X1250" s="219">
        <f t="shared" ca="1" si="178"/>
        <v>0</v>
      </c>
      <c r="AB1250" s="220" t="str">
        <f t="shared" si="179"/>
        <v/>
      </c>
    </row>
    <row r="1251" spans="1:28" s="219" customFormat="1" ht="20.25">
      <c r="A1251" s="174"/>
      <c r="B1251" s="175" t="str">
        <f>IF(LEN(A1251)=0,"",INDEX('Smelter Look-up'!$A:$A,MATCH($A1251,'Smelter Look-up'!$E:$E,0)))</f>
        <v/>
      </c>
      <c r="C1251" s="179" t="str">
        <f>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77"/>
        <v/>
      </c>
      <c r="T1251" s="174" t="str">
        <f ca="1">IF(B1251="","",IF(ISERROR(MATCH($J1251,SorP!$B$1:$B$6279,0)),"",INDIRECT("'SorP'!$A$"&amp;MATCH($S1251&amp;$J1251,SorP!C:C,0))))</f>
        <v/>
      </c>
      <c r="U1251" s="194"/>
      <c r="V1251" s="218" t="e">
        <f>IF(C1251="",NA(),IF(OR(C1251="Smelter not listed",C1251="Smelter not yet identified"),MATCH($B1251&amp;$D1251,'Smelter Look-up'!$J:$J,0),MATCH($B1251&amp;$C1251,'Smelter Look-up'!$J:$J,0)))</f>
        <v>#N/A</v>
      </c>
      <c r="X1251" s="219">
        <f t="shared" ca="1" si="178"/>
        <v>0</v>
      </c>
      <c r="AB1251" s="220" t="str">
        <f t="shared" si="179"/>
        <v/>
      </c>
    </row>
    <row r="1252" spans="1:28" s="219" customFormat="1" ht="20.25">
      <c r="A1252" s="174"/>
      <c r="B1252" s="175" t="str">
        <f>IF(LEN(A1252)=0,"",INDEX('Smelter Look-up'!$A:$A,MATCH($A1252,'Smelter Look-up'!$E:$E,0)))</f>
        <v/>
      </c>
      <c r="C1252" s="179" t="str">
        <f>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77"/>
        <v/>
      </c>
      <c r="T1252" s="174" t="str">
        <f ca="1">IF(B1252="","",IF(ISERROR(MATCH($J1252,SorP!$B$1:$B$6279,0)),"",INDIRECT("'SorP'!$A$"&amp;MATCH($S1252&amp;$J1252,SorP!C:C,0))))</f>
        <v/>
      </c>
      <c r="U1252" s="194"/>
      <c r="V1252" s="218" t="e">
        <f>IF(C1252="",NA(),IF(OR(C1252="Smelter not listed",C1252="Smelter not yet identified"),MATCH($B1252&amp;$D1252,'Smelter Look-up'!$J:$J,0),MATCH($B1252&amp;$C1252,'Smelter Look-up'!$J:$J,0)))</f>
        <v>#N/A</v>
      </c>
      <c r="X1252" s="219">
        <f t="shared" ca="1" si="178"/>
        <v>0</v>
      </c>
      <c r="AB1252" s="220" t="str">
        <f t="shared" si="179"/>
        <v/>
      </c>
    </row>
    <row r="1253" spans="1:28" s="219" customFormat="1" ht="20.25">
      <c r="A1253" s="174"/>
      <c r="B1253" s="175" t="str">
        <f>IF(LEN(A1253)=0,"",INDEX('Smelter Look-up'!$A:$A,MATCH($A1253,'Smelter Look-up'!$E:$E,0)))</f>
        <v/>
      </c>
      <c r="C1253" s="179" t="str">
        <f>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77"/>
        <v/>
      </c>
      <c r="T1253" s="174" t="str">
        <f ca="1">IF(B1253="","",IF(ISERROR(MATCH($J1253,SorP!$B$1:$B$6279,0)),"",INDIRECT("'SorP'!$A$"&amp;MATCH($S1253&amp;$J1253,SorP!C:C,0))))</f>
        <v/>
      </c>
      <c r="U1253" s="194"/>
      <c r="V1253" s="218" t="e">
        <f>IF(C1253="",NA(),IF(OR(C1253="Smelter not listed",C1253="Smelter not yet identified"),MATCH($B1253&amp;$D1253,'Smelter Look-up'!$J:$J,0),MATCH($B1253&amp;$C1253,'Smelter Look-up'!$J:$J,0)))</f>
        <v>#N/A</v>
      </c>
      <c r="X1253" s="219">
        <f t="shared" ca="1" si="178"/>
        <v>0</v>
      </c>
      <c r="AB1253" s="220" t="str">
        <f t="shared" si="179"/>
        <v/>
      </c>
    </row>
    <row r="1254" spans="1:28" s="219" customFormat="1" ht="20.25">
      <c r="A1254" s="174"/>
      <c r="B1254" s="175" t="str">
        <f>IF(LEN(A1254)=0,"",INDEX('Smelter Look-up'!$A:$A,MATCH($A1254,'Smelter Look-up'!$E:$E,0)))</f>
        <v/>
      </c>
      <c r="C1254" s="179" t="str">
        <f>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77"/>
        <v/>
      </c>
      <c r="T1254" s="174" t="str">
        <f ca="1">IF(B1254="","",IF(ISERROR(MATCH($J1254,SorP!$B$1:$B$6279,0)),"",INDIRECT("'SorP'!$A$"&amp;MATCH($S1254&amp;$J1254,SorP!C:C,0))))</f>
        <v/>
      </c>
      <c r="U1254" s="194"/>
      <c r="V1254" s="218" t="e">
        <f>IF(C1254="",NA(),IF(OR(C1254="Smelter not listed",C1254="Smelter not yet identified"),MATCH($B1254&amp;$D1254,'Smelter Look-up'!$J:$J,0),MATCH($B1254&amp;$C1254,'Smelter Look-up'!$J:$J,0)))</f>
        <v>#N/A</v>
      </c>
      <c r="X1254" s="219">
        <f t="shared" ca="1" si="178"/>
        <v>0</v>
      </c>
      <c r="AB1254" s="220" t="str">
        <f t="shared" si="179"/>
        <v/>
      </c>
    </row>
    <row r="1255" spans="1:28" s="219" customFormat="1" ht="20.25">
      <c r="A1255" s="174"/>
      <c r="B1255" s="175" t="str">
        <f>IF(LEN(A1255)=0,"",INDEX('Smelter Look-up'!$A:$A,MATCH($A1255,'Smelter Look-up'!$E:$E,0)))</f>
        <v/>
      </c>
      <c r="C1255" s="179" t="str">
        <f>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77"/>
        <v/>
      </c>
      <c r="T1255" s="174" t="str">
        <f ca="1">IF(B1255="","",IF(ISERROR(MATCH($J1255,SorP!$B$1:$B$6279,0)),"",INDIRECT("'SorP'!$A$"&amp;MATCH($S1255&amp;$J1255,SorP!C:C,0))))</f>
        <v/>
      </c>
      <c r="U1255" s="194"/>
      <c r="V1255" s="218" t="e">
        <f>IF(C1255="",NA(),IF(OR(C1255="Smelter not listed",C1255="Smelter not yet identified"),MATCH($B1255&amp;$D1255,'Smelter Look-up'!$J:$J,0),MATCH($B1255&amp;$C1255,'Smelter Look-up'!$J:$J,0)))</f>
        <v>#N/A</v>
      </c>
      <c r="X1255" s="219">
        <f t="shared" ca="1" si="178"/>
        <v>0</v>
      </c>
      <c r="AB1255" s="220" t="str">
        <f t="shared" si="179"/>
        <v/>
      </c>
    </row>
    <row r="1256" spans="1:28" s="219" customFormat="1" ht="20.25">
      <c r="A1256" s="174"/>
      <c r="B1256" s="175" t="str">
        <f>IF(LEN(A1256)=0,"",INDEX('Smelter Look-up'!$A:$A,MATCH($A1256,'Smelter Look-up'!$E:$E,0)))</f>
        <v/>
      </c>
      <c r="C1256" s="179" t="str">
        <f>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77"/>
        <v/>
      </c>
      <c r="T1256" s="174" t="str">
        <f ca="1">IF(B1256="","",IF(ISERROR(MATCH($J1256,SorP!$B$1:$B$6279,0)),"",INDIRECT("'SorP'!$A$"&amp;MATCH($S1256&amp;$J1256,SorP!C:C,0))))</f>
        <v/>
      </c>
      <c r="U1256" s="194"/>
      <c r="V1256" s="218" t="e">
        <f>IF(C1256="",NA(),IF(OR(C1256="Smelter not listed",C1256="Smelter not yet identified"),MATCH($B1256&amp;$D1256,'Smelter Look-up'!$J:$J,0),MATCH($B1256&amp;$C1256,'Smelter Look-up'!$J:$J,0)))</f>
        <v>#N/A</v>
      </c>
      <c r="X1256" s="219">
        <f t="shared" ca="1" si="178"/>
        <v>0</v>
      </c>
      <c r="AB1256" s="220" t="str">
        <f t="shared" si="179"/>
        <v/>
      </c>
    </row>
    <row r="1257" spans="1:28" s="219" customFormat="1" ht="20.25">
      <c r="A1257" s="174"/>
      <c r="B1257" s="175" t="str">
        <f>IF(LEN(A1257)=0,"",INDEX('Smelter Look-up'!$A:$A,MATCH($A1257,'Smelter Look-up'!$E:$E,0)))</f>
        <v/>
      </c>
      <c r="C1257" s="179" t="str">
        <f>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77"/>
        <v/>
      </c>
      <c r="T1257" s="174" t="str">
        <f ca="1">IF(B1257="","",IF(ISERROR(MATCH($J1257,SorP!$B$1:$B$6279,0)),"",INDIRECT("'SorP'!$A$"&amp;MATCH($S1257&amp;$J1257,SorP!C:C,0))))</f>
        <v/>
      </c>
      <c r="U1257" s="194"/>
      <c r="V1257" s="218" t="e">
        <f>IF(C1257="",NA(),IF(OR(C1257="Smelter not listed",C1257="Smelter not yet identified"),MATCH($B1257&amp;$D1257,'Smelter Look-up'!$J:$J,0),MATCH($B1257&amp;$C1257,'Smelter Look-up'!$J:$J,0)))</f>
        <v>#N/A</v>
      </c>
      <c r="X1257" s="219">
        <f t="shared" ca="1" si="178"/>
        <v>0</v>
      </c>
      <c r="AB1257" s="220" t="str">
        <f t="shared" si="179"/>
        <v/>
      </c>
    </row>
    <row r="1258" spans="1:28" s="219" customFormat="1" ht="20.25">
      <c r="A1258" s="174"/>
      <c r="B1258" s="175" t="str">
        <f>IF(LEN(A1258)=0,"",INDEX('Smelter Look-up'!$A:$A,MATCH($A1258,'Smelter Look-up'!$E:$E,0)))</f>
        <v/>
      </c>
      <c r="C1258" s="179" t="str">
        <f>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77"/>
        <v/>
      </c>
      <c r="T1258" s="174" t="str">
        <f ca="1">IF(B1258="","",IF(ISERROR(MATCH($J1258,SorP!$B$1:$B$6279,0)),"",INDIRECT("'SorP'!$A$"&amp;MATCH($S1258&amp;$J1258,SorP!C:C,0))))</f>
        <v/>
      </c>
      <c r="U1258" s="194"/>
      <c r="V1258" s="218" t="e">
        <f>IF(C1258="",NA(),IF(OR(C1258="Smelter not listed",C1258="Smelter not yet identified"),MATCH($B1258&amp;$D1258,'Smelter Look-up'!$J:$J,0),MATCH($B1258&amp;$C1258,'Smelter Look-up'!$J:$J,0)))</f>
        <v>#N/A</v>
      </c>
      <c r="X1258" s="219">
        <f t="shared" ca="1" si="178"/>
        <v>0</v>
      </c>
      <c r="AB1258" s="220" t="str">
        <f t="shared" si="179"/>
        <v/>
      </c>
    </row>
    <row r="1259" spans="1:28" s="219" customFormat="1" ht="20.25">
      <c r="A1259" s="174"/>
      <c r="B1259" s="175" t="str">
        <f>IF(LEN(A1259)=0,"",INDEX('Smelter Look-up'!$A:$A,MATCH($A1259,'Smelter Look-up'!$E:$E,0)))</f>
        <v/>
      </c>
      <c r="C1259" s="179" t="str">
        <f>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77"/>
        <v/>
      </c>
      <c r="T1259" s="174" t="str">
        <f ca="1">IF(B1259="","",IF(ISERROR(MATCH($J1259,SorP!$B$1:$B$6279,0)),"",INDIRECT("'SorP'!$A$"&amp;MATCH($S1259&amp;$J1259,SorP!C:C,0))))</f>
        <v/>
      </c>
      <c r="U1259" s="194"/>
      <c r="V1259" s="218" t="e">
        <f>IF(C1259="",NA(),IF(OR(C1259="Smelter not listed",C1259="Smelter not yet identified"),MATCH($B1259&amp;$D1259,'Smelter Look-up'!$J:$J,0),MATCH($B1259&amp;$C1259,'Smelter Look-up'!$J:$J,0)))</f>
        <v>#N/A</v>
      </c>
      <c r="X1259" s="219">
        <f t="shared" ca="1" si="178"/>
        <v>0</v>
      </c>
      <c r="AB1259" s="220" t="str">
        <f t="shared" si="179"/>
        <v/>
      </c>
    </row>
    <row r="1260" spans="1:28" s="219" customFormat="1" ht="20.25">
      <c r="A1260" s="174"/>
      <c r="B1260" s="175" t="str">
        <f>IF(LEN(A1260)=0,"",INDEX('Smelter Look-up'!$A:$A,MATCH($A1260,'Smelter Look-up'!$E:$E,0)))</f>
        <v/>
      </c>
      <c r="C1260" s="179" t="str">
        <f>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77"/>
        <v/>
      </c>
      <c r="T1260" s="174" t="str">
        <f ca="1">IF(B1260="","",IF(ISERROR(MATCH($J1260,SorP!$B$1:$B$6279,0)),"",INDIRECT("'SorP'!$A$"&amp;MATCH($S1260&amp;$J1260,SorP!C:C,0))))</f>
        <v/>
      </c>
      <c r="U1260" s="194"/>
      <c r="V1260" s="218" t="e">
        <f>IF(C1260="",NA(),IF(OR(C1260="Smelter not listed",C1260="Smelter not yet identified"),MATCH($B1260&amp;$D1260,'Smelter Look-up'!$J:$J,0),MATCH($B1260&amp;$C1260,'Smelter Look-up'!$J:$J,0)))</f>
        <v>#N/A</v>
      </c>
      <c r="X1260" s="219">
        <f t="shared" ca="1" si="178"/>
        <v>0</v>
      </c>
      <c r="AB1260" s="220" t="str">
        <f t="shared" si="179"/>
        <v/>
      </c>
    </row>
    <row r="1261" spans="1:28" s="219" customFormat="1" ht="20.25">
      <c r="A1261" s="174"/>
      <c r="B1261" s="175" t="str">
        <f>IF(LEN(A1261)=0,"",INDEX('Smelter Look-up'!$A:$A,MATCH($A1261,'Smelter Look-up'!$E:$E,0)))</f>
        <v/>
      </c>
      <c r="C1261" s="179" t="str">
        <f>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77"/>
        <v/>
      </c>
      <c r="T1261" s="174" t="str">
        <f ca="1">IF(B1261="","",IF(ISERROR(MATCH($J1261,SorP!$B$1:$B$6279,0)),"",INDIRECT("'SorP'!$A$"&amp;MATCH($S1261&amp;$J1261,SorP!C:C,0))))</f>
        <v/>
      </c>
      <c r="U1261" s="194"/>
      <c r="V1261" s="218" t="e">
        <f>IF(C1261="",NA(),IF(OR(C1261="Smelter not listed",C1261="Smelter not yet identified"),MATCH($B1261&amp;$D1261,'Smelter Look-up'!$J:$J,0),MATCH($B1261&amp;$C1261,'Smelter Look-up'!$J:$J,0)))</f>
        <v>#N/A</v>
      </c>
      <c r="X1261" s="219">
        <f t="shared" ca="1" si="178"/>
        <v>0</v>
      </c>
      <c r="AB1261" s="220" t="str">
        <f t="shared" si="179"/>
        <v/>
      </c>
    </row>
    <row r="1262" spans="1:28" s="219" customFormat="1" ht="20.25">
      <c r="A1262" s="174"/>
      <c r="B1262" s="175" t="str">
        <f>IF(LEN(A1262)=0,"",INDEX('Smelter Look-up'!$A:$A,MATCH($A1262,'Smelter Look-up'!$E:$E,0)))</f>
        <v/>
      </c>
      <c r="C1262" s="179" t="str">
        <f>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77"/>
        <v/>
      </c>
      <c r="T1262" s="174" t="str">
        <f ca="1">IF(B1262="","",IF(ISERROR(MATCH($J1262,SorP!$B$1:$B$6279,0)),"",INDIRECT("'SorP'!$A$"&amp;MATCH($S1262&amp;$J1262,SorP!C:C,0))))</f>
        <v/>
      </c>
      <c r="U1262" s="194"/>
      <c r="V1262" s="218" t="e">
        <f>IF(C1262="",NA(),IF(OR(C1262="Smelter not listed",C1262="Smelter not yet identified"),MATCH($B1262&amp;$D1262,'Smelter Look-up'!$J:$J,0),MATCH($B1262&amp;$C1262,'Smelter Look-up'!$J:$J,0)))</f>
        <v>#N/A</v>
      </c>
      <c r="X1262" s="219">
        <f t="shared" ca="1" si="178"/>
        <v>0</v>
      </c>
      <c r="AB1262" s="220" t="str">
        <f t="shared" si="179"/>
        <v/>
      </c>
    </row>
    <row r="1263" spans="1:28" s="219" customFormat="1" ht="20.25">
      <c r="A1263" s="174"/>
      <c r="B1263" s="175" t="str">
        <f>IF(LEN(A1263)=0,"",INDEX('Smelter Look-up'!$A:$A,MATCH($A1263,'Smelter Look-up'!$E:$E,0)))</f>
        <v/>
      </c>
      <c r="C1263" s="179" t="str">
        <f>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77"/>
        <v/>
      </c>
      <c r="T1263" s="174" t="str">
        <f ca="1">IF(B1263="","",IF(ISERROR(MATCH($J1263,SorP!$B$1:$B$6279,0)),"",INDIRECT("'SorP'!$A$"&amp;MATCH($S1263&amp;$J1263,SorP!C:C,0))))</f>
        <v/>
      </c>
      <c r="U1263" s="194"/>
      <c r="V1263" s="218" t="e">
        <f>IF(C1263="",NA(),IF(OR(C1263="Smelter not listed",C1263="Smelter not yet identified"),MATCH($B1263&amp;$D1263,'Smelter Look-up'!$J:$J,0),MATCH($B1263&amp;$C1263,'Smelter Look-up'!$J:$J,0)))</f>
        <v>#N/A</v>
      </c>
      <c r="X1263" s="219">
        <f t="shared" ca="1" si="178"/>
        <v>0</v>
      </c>
      <c r="AB1263" s="220" t="str">
        <f t="shared" si="179"/>
        <v/>
      </c>
    </row>
    <row r="1264" spans="1:28" s="219" customFormat="1" ht="20.25">
      <c r="A1264" s="174"/>
      <c r="B1264" s="175" t="str">
        <f>IF(LEN(A1264)=0,"",INDEX('Smelter Look-up'!$A:$A,MATCH($A1264,'Smelter Look-up'!$E:$E,0)))</f>
        <v/>
      </c>
      <c r="C1264" s="179" t="str">
        <f>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77"/>
        <v/>
      </c>
      <c r="T1264" s="174" t="str">
        <f ca="1">IF(B1264="","",IF(ISERROR(MATCH($J1264,SorP!$B$1:$B$6279,0)),"",INDIRECT("'SorP'!$A$"&amp;MATCH($S1264&amp;$J1264,SorP!C:C,0))))</f>
        <v/>
      </c>
      <c r="U1264" s="194"/>
      <c r="V1264" s="218" t="e">
        <f>IF(C1264="",NA(),IF(OR(C1264="Smelter not listed",C1264="Smelter not yet identified"),MATCH($B1264&amp;$D1264,'Smelter Look-up'!$J:$J,0),MATCH($B1264&amp;$C1264,'Smelter Look-up'!$J:$J,0)))</f>
        <v>#N/A</v>
      </c>
      <c r="X1264" s="219">
        <f t="shared" ca="1" si="178"/>
        <v>0</v>
      </c>
      <c r="AB1264" s="220" t="str">
        <f t="shared" si="179"/>
        <v/>
      </c>
    </row>
    <row r="1265" spans="1:28" s="219" customFormat="1" ht="20.25">
      <c r="A1265" s="174"/>
      <c r="B1265" s="175" t="str">
        <f>IF(LEN(A1265)=0,"",INDEX('Smelter Look-up'!$A:$A,MATCH($A1265,'Smelter Look-up'!$E:$E,0)))</f>
        <v/>
      </c>
      <c r="C1265" s="179" t="str">
        <f>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77"/>
        <v/>
      </c>
      <c r="T1265" s="174" t="str">
        <f ca="1">IF(B1265="","",IF(ISERROR(MATCH($J1265,SorP!$B$1:$B$6279,0)),"",INDIRECT("'SorP'!$A$"&amp;MATCH($S1265&amp;$J1265,SorP!C:C,0))))</f>
        <v/>
      </c>
      <c r="U1265" s="194"/>
      <c r="V1265" s="218" t="e">
        <f>IF(C1265="",NA(),IF(OR(C1265="Smelter not listed",C1265="Smelter not yet identified"),MATCH($B1265&amp;$D1265,'Smelter Look-up'!$J:$J,0),MATCH($B1265&amp;$C1265,'Smelter Look-up'!$J:$J,0)))</f>
        <v>#N/A</v>
      </c>
      <c r="X1265" s="219">
        <f t="shared" ca="1" si="178"/>
        <v>0</v>
      </c>
      <c r="AB1265" s="220" t="str">
        <f t="shared" si="179"/>
        <v/>
      </c>
    </row>
    <row r="1266" spans="1:28" s="219" customFormat="1" ht="20.25">
      <c r="A1266" s="174"/>
      <c r="B1266" s="175" t="str">
        <f>IF(LEN(A1266)=0,"",INDEX('Smelter Look-up'!$A:$A,MATCH($A1266,'Smelter Look-up'!$E:$E,0)))</f>
        <v/>
      </c>
      <c r="C1266" s="179" t="str">
        <f>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77"/>
        <v/>
      </c>
      <c r="T1266" s="174" t="str">
        <f ca="1">IF(B1266="","",IF(ISERROR(MATCH($J1266,SorP!$B$1:$B$6279,0)),"",INDIRECT("'SorP'!$A$"&amp;MATCH($S1266&amp;$J1266,SorP!C:C,0))))</f>
        <v/>
      </c>
      <c r="U1266" s="194"/>
      <c r="V1266" s="218" t="e">
        <f>IF(C1266="",NA(),IF(OR(C1266="Smelter not listed",C1266="Smelter not yet identified"),MATCH($B1266&amp;$D1266,'Smelter Look-up'!$J:$J,0),MATCH($B1266&amp;$C1266,'Smelter Look-up'!$J:$J,0)))</f>
        <v>#N/A</v>
      </c>
      <c r="X1266" s="219">
        <f t="shared" ca="1" si="178"/>
        <v>0</v>
      </c>
      <c r="AB1266" s="220" t="str">
        <f t="shared" si="179"/>
        <v/>
      </c>
    </row>
    <row r="1267" spans="1:28" s="219" customFormat="1" ht="20.25">
      <c r="A1267" s="174"/>
      <c r="B1267" s="175" t="str">
        <f>IF(LEN(A1267)=0,"",INDEX('Smelter Look-up'!$A:$A,MATCH($A1267,'Smelter Look-up'!$E:$E,0)))</f>
        <v/>
      </c>
      <c r="C1267" s="179" t="str">
        <f>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77"/>
        <v/>
      </c>
      <c r="T1267" s="174" t="str">
        <f ca="1">IF(B1267="","",IF(ISERROR(MATCH($J1267,SorP!$B$1:$B$6279,0)),"",INDIRECT("'SorP'!$A$"&amp;MATCH($S1267&amp;$J1267,SorP!C:C,0))))</f>
        <v/>
      </c>
      <c r="U1267" s="194"/>
      <c r="V1267" s="218" t="e">
        <f>IF(C1267="",NA(),IF(OR(C1267="Smelter not listed",C1267="Smelter not yet identified"),MATCH($B1267&amp;$D1267,'Smelter Look-up'!$J:$J,0),MATCH($B1267&amp;$C1267,'Smelter Look-up'!$J:$J,0)))</f>
        <v>#N/A</v>
      </c>
      <c r="X1267" s="219">
        <f t="shared" ca="1" si="178"/>
        <v>0</v>
      </c>
      <c r="AB1267" s="220" t="str">
        <f t="shared" si="179"/>
        <v/>
      </c>
    </row>
    <row r="1268" spans="1:28" s="219" customFormat="1" ht="20.25">
      <c r="A1268" s="174"/>
      <c r="B1268" s="175" t="str">
        <f>IF(LEN(A1268)=0,"",INDEX('Smelter Look-up'!$A:$A,MATCH($A1268,'Smelter Look-up'!$E:$E,0)))</f>
        <v/>
      </c>
      <c r="C1268" s="179" t="str">
        <f>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77"/>
        <v/>
      </c>
      <c r="T1268" s="174" t="str">
        <f ca="1">IF(B1268="","",IF(ISERROR(MATCH($J1268,SorP!$B$1:$B$6279,0)),"",INDIRECT("'SorP'!$A$"&amp;MATCH($S1268&amp;$J1268,SorP!C:C,0))))</f>
        <v/>
      </c>
      <c r="U1268" s="194"/>
      <c r="V1268" s="218" t="e">
        <f>IF(C1268="",NA(),IF(OR(C1268="Smelter not listed",C1268="Smelter not yet identified"),MATCH($B1268&amp;$D1268,'Smelter Look-up'!$J:$J,0),MATCH($B1268&amp;$C1268,'Smelter Look-up'!$J:$J,0)))</f>
        <v>#N/A</v>
      </c>
      <c r="X1268" s="219">
        <f t="shared" ca="1" si="178"/>
        <v>0</v>
      </c>
      <c r="AB1268" s="220" t="str">
        <f t="shared" si="179"/>
        <v/>
      </c>
    </row>
    <row r="1269" spans="1:28" s="219" customFormat="1" ht="20.25">
      <c r="A1269" s="174"/>
      <c r="B1269" s="175" t="str">
        <f>IF(LEN(A1269)=0,"",INDEX('Smelter Look-up'!$A:$A,MATCH($A1269,'Smelter Look-up'!$E:$E,0)))</f>
        <v/>
      </c>
      <c r="C1269" s="179" t="str">
        <f>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77"/>
        <v/>
      </c>
      <c r="T1269" s="174" t="str">
        <f ca="1">IF(B1269="","",IF(ISERROR(MATCH($J1269,SorP!$B$1:$B$6279,0)),"",INDIRECT("'SorP'!$A$"&amp;MATCH($S1269&amp;$J1269,SorP!C:C,0))))</f>
        <v/>
      </c>
      <c r="U1269" s="194"/>
      <c r="V1269" s="218" t="e">
        <f>IF(C1269="",NA(),IF(OR(C1269="Smelter not listed",C1269="Smelter not yet identified"),MATCH($B1269&amp;$D1269,'Smelter Look-up'!$J:$J,0),MATCH($B1269&amp;$C1269,'Smelter Look-up'!$J:$J,0)))</f>
        <v>#N/A</v>
      </c>
      <c r="X1269" s="219">
        <f t="shared" ca="1" si="178"/>
        <v>0</v>
      </c>
      <c r="AB1269" s="220" t="str">
        <f t="shared" si="179"/>
        <v/>
      </c>
    </row>
    <row r="1270" spans="1:28" s="219" customFormat="1" ht="20.25">
      <c r="A1270" s="174"/>
      <c r="B1270" s="175" t="str">
        <f>IF(LEN(A1270)=0,"",INDEX('Smelter Look-up'!$A:$A,MATCH($A1270,'Smelter Look-up'!$E:$E,0)))</f>
        <v/>
      </c>
      <c r="C1270" s="179" t="str">
        <f>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77"/>
        <v/>
      </c>
      <c r="T1270" s="174" t="str">
        <f ca="1">IF(B1270="","",IF(ISERROR(MATCH($J1270,SorP!$B$1:$B$6279,0)),"",INDIRECT("'SorP'!$A$"&amp;MATCH($S1270&amp;$J1270,SorP!C:C,0))))</f>
        <v/>
      </c>
      <c r="U1270" s="194"/>
      <c r="V1270" s="218" t="e">
        <f>IF(C1270="",NA(),IF(OR(C1270="Smelter not listed",C1270="Smelter not yet identified"),MATCH($B1270&amp;$D1270,'Smelter Look-up'!$J:$J,0),MATCH($B1270&amp;$C1270,'Smelter Look-up'!$J:$J,0)))</f>
        <v>#N/A</v>
      </c>
      <c r="X1270" s="219">
        <f t="shared" ca="1" si="178"/>
        <v>0</v>
      </c>
      <c r="AB1270" s="220" t="str">
        <f t="shared" si="179"/>
        <v/>
      </c>
    </row>
    <row r="1271" spans="1:28" s="219" customFormat="1" ht="20.25">
      <c r="A1271" s="174"/>
      <c r="B1271" s="175" t="str">
        <f>IF(LEN(A1271)=0,"",INDEX('Smelter Look-up'!$A:$A,MATCH($A1271,'Smelter Look-up'!$E:$E,0)))</f>
        <v/>
      </c>
      <c r="C1271" s="179" t="str">
        <f>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77"/>
        <v/>
      </c>
      <c r="T1271" s="174" t="str">
        <f ca="1">IF(B1271="","",IF(ISERROR(MATCH($J1271,SorP!$B$1:$B$6279,0)),"",INDIRECT("'SorP'!$A$"&amp;MATCH($S1271&amp;$J1271,SorP!C:C,0))))</f>
        <v/>
      </c>
      <c r="U1271" s="194"/>
      <c r="V1271" s="218" t="e">
        <f>IF(C1271="",NA(),IF(OR(C1271="Smelter not listed",C1271="Smelter not yet identified"),MATCH($B1271&amp;$D1271,'Smelter Look-up'!$J:$J,0),MATCH($B1271&amp;$C1271,'Smelter Look-up'!$J:$J,0)))</f>
        <v>#N/A</v>
      </c>
      <c r="X1271" s="219">
        <f t="shared" ca="1" si="178"/>
        <v>0</v>
      </c>
      <c r="AB1271" s="220" t="str">
        <f t="shared" si="179"/>
        <v/>
      </c>
    </row>
    <row r="1272" spans="1:28" s="219" customFormat="1" ht="20.25">
      <c r="A1272" s="174"/>
      <c r="B1272" s="175" t="str">
        <f>IF(LEN(A1272)=0,"",INDEX('Smelter Look-up'!$A:$A,MATCH($A1272,'Smelter Look-up'!$E:$E,0)))</f>
        <v/>
      </c>
      <c r="C1272" s="179" t="str">
        <f>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77"/>
        <v/>
      </c>
      <c r="T1272" s="174" t="str">
        <f ca="1">IF(B1272="","",IF(ISERROR(MATCH($J1272,SorP!$B$1:$B$6279,0)),"",INDIRECT("'SorP'!$A$"&amp;MATCH($S1272&amp;$J1272,SorP!C:C,0))))</f>
        <v/>
      </c>
      <c r="U1272" s="194"/>
      <c r="V1272" s="218" t="e">
        <f>IF(C1272="",NA(),IF(OR(C1272="Smelter not listed",C1272="Smelter not yet identified"),MATCH($B1272&amp;$D1272,'Smelter Look-up'!$J:$J,0),MATCH($B1272&amp;$C1272,'Smelter Look-up'!$J:$J,0)))</f>
        <v>#N/A</v>
      </c>
      <c r="X1272" s="219">
        <f t="shared" ca="1" si="178"/>
        <v>0</v>
      </c>
      <c r="AB1272" s="220" t="str">
        <f t="shared" si="179"/>
        <v/>
      </c>
    </row>
    <row r="1273" spans="1:28" s="219" customFormat="1" ht="20.25">
      <c r="A1273" s="174"/>
      <c r="B1273" s="175" t="str">
        <f>IF(LEN(A1273)=0,"",INDEX('Smelter Look-up'!$A:$A,MATCH($A1273,'Smelter Look-up'!$E:$E,0)))</f>
        <v/>
      </c>
      <c r="C1273" s="179" t="str">
        <f>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177"/>
        <v/>
      </c>
      <c r="T1273" s="174" t="str">
        <f ca="1">IF(B1273="","",IF(ISERROR(MATCH($J1273,SorP!$B$1:$B$6279,0)),"",INDIRECT("'SorP'!$A$"&amp;MATCH($S1273&amp;$J1273,SorP!C:C,0))))</f>
        <v/>
      </c>
      <c r="U1273" s="194"/>
      <c r="V1273" s="218" t="e">
        <f>IF(C1273="",NA(),IF(OR(C1273="Smelter not listed",C1273="Smelter not yet identified"),MATCH($B1273&amp;$D1273,'Smelter Look-up'!$J:$J,0),MATCH($B1273&amp;$C1273,'Smelter Look-up'!$J:$J,0)))</f>
        <v>#N/A</v>
      </c>
      <c r="X1273" s="219">
        <f t="shared" ca="1" si="178"/>
        <v>0</v>
      </c>
      <c r="AB1273" s="220" t="str">
        <f t="shared" si="179"/>
        <v/>
      </c>
    </row>
    <row r="1274" spans="1:28" s="219" customFormat="1" ht="20.25">
      <c r="A1274" s="174"/>
      <c r="B1274" s="175" t="str">
        <f>IF(LEN(A1274)=0,"",INDEX('Smelter Look-up'!$A:$A,MATCH($A1274,'Smelter Look-up'!$E:$E,0)))</f>
        <v/>
      </c>
      <c r="C1274" s="179" t="str">
        <f>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ca="1" si="177"/>
        <v/>
      </c>
      <c r="T1274" s="174" t="str">
        <f ca="1">IF(B1274="","",IF(ISERROR(MATCH($J1274,SorP!$B$1:$B$6279,0)),"",INDIRECT("'SorP'!$A$"&amp;MATCH($S1274&amp;$J1274,SorP!C:C,0))))</f>
        <v/>
      </c>
      <c r="U1274" s="194"/>
      <c r="V1274" s="218" t="e">
        <f>IF(C1274="",NA(),IF(OR(C1274="Smelter not listed",C1274="Smelter not yet identified"),MATCH($B1274&amp;$D1274,'Smelter Look-up'!$J:$J,0),MATCH($B1274&amp;$C1274,'Smelter Look-up'!$J:$J,0)))</f>
        <v>#N/A</v>
      </c>
      <c r="X1274" s="219">
        <f t="shared" ca="1" si="178"/>
        <v>0</v>
      </c>
      <c r="AB1274" s="220" t="str">
        <f t="shared" si="179"/>
        <v/>
      </c>
    </row>
    <row r="1275" spans="1:28" s="219" customFormat="1" ht="20.25">
      <c r="A1275" s="174"/>
      <c r="B1275" s="175" t="str">
        <f>IF(LEN(A1275)=0,"",INDEX('Smelter Look-up'!$A:$A,MATCH($A1275,'Smelter Look-up'!$E:$E,0)))</f>
        <v/>
      </c>
      <c r="C1275" s="179" t="str">
        <f>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ref="S1275" ca="1" si="180">IF(B1275="","",IF(ISERROR(MATCH($E1275,CL,0)),"Unknown",INDIRECT("'C'!$A$"&amp;MATCH($E1275,CL,0)+1)))</f>
        <v/>
      </c>
      <c r="T1275" s="174" t="str">
        <f ca="1">IF(B1275="","",IF(ISERROR(MATCH($J1275,SorP!$B$1:$B$6279,0)),"",INDIRECT("'SorP'!$A$"&amp;MATCH($S1275&amp;$J1275,SorP!C:C,0))))</f>
        <v/>
      </c>
      <c r="U1275" s="194"/>
      <c r="V1275" s="218" t="e">
        <f>IF(C1275="",NA(),IF(OR(C1275="Smelter not listed",C1275="Smelter not yet identified"),MATCH($B1275&amp;$D1275,'Smelter Look-up'!$J:$J,0),MATCH($B1275&amp;$C1275,'Smelter Look-up'!$J:$J,0)))</f>
        <v>#N/A</v>
      </c>
      <c r="X1275" s="219">
        <f t="shared" ref="X1275" ca="1" si="181">IF(AND(C1275="Smelter not listed",OR(LEN(D1275)=0,LEN(E1275)=0)),1,0)</f>
        <v>0</v>
      </c>
      <c r="AB1275" s="220" t="str">
        <f t="shared" ref="AB1275" si="182">B1275&amp;C1275</f>
        <v/>
      </c>
    </row>
    <row r="1276" spans="1:28" s="219" customFormat="1" ht="20.25">
      <c r="A1276" s="174"/>
      <c r="B1276" s="175" t="str">
        <f>IF(LEN(A1276)=0,"",INDEX('Smelter Look-up'!$A:$A,MATCH($A1276,'Smelter Look-up'!$E:$E,0)))</f>
        <v/>
      </c>
      <c r="C1276" s="179" t="str">
        <f>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ref="S1276:S1307" ca="1" si="183">IF(B1276="","",IF(ISERROR(MATCH($E1276,CL,0)),"Unknown",INDIRECT("'C'!$A$"&amp;MATCH($E1276,CL,0)+1)))</f>
        <v/>
      </c>
      <c r="T1276" s="174" t="str">
        <f ca="1">IF(B1276="","",IF(ISERROR(MATCH($J1276,SorP!$B$1:$B$6279,0)),"",INDIRECT("'SorP'!$A$"&amp;MATCH($S1276&amp;$J1276,SorP!C:C,0))))</f>
        <v/>
      </c>
      <c r="U1276" s="194"/>
      <c r="V1276" s="218" t="e">
        <f>IF(C1276="",NA(),IF(OR(C1276="Smelter not listed",C1276="Smelter not yet identified"),MATCH($B1276&amp;$D1276,'Smelter Look-up'!$J:$J,0),MATCH($B1276&amp;$C1276,'Smelter Look-up'!$J:$J,0)))</f>
        <v>#N/A</v>
      </c>
      <c r="X1276" s="219">
        <f t="shared" ref="X1276:X1307" ca="1" si="184">IF(AND(C1276="Smelter not listed",OR(LEN(D1276)=0,LEN(E1276)=0)),1,0)</f>
        <v>0</v>
      </c>
      <c r="AB1276" s="220" t="str">
        <f t="shared" ref="AB1276:AB1307" si="185">B1276&amp;C1276</f>
        <v/>
      </c>
    </row>
    <row r="1277" spans="1:28" s="219" customFormat="1" ht="20.25">
      <c r="A1277" s="174"/>
      <c r="B1277" s="175" t="str">
        <f>IF(LEN(A1277)=0,"",INDEX('Smelter Look-up'!$A:$A,MATCH($A1277,'Smelter Look-up'!$E:$E,0)))</f>
        <v/>
      </c>
      <c r="C1277" s="179" t="str">
        <f>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83"/>
        <v/>
      </c>
      <c r="T1277" s="174" t="str">
        <f ca="1">IF(B1277="","",IF(ISERROR(MATCH($J1277,SorP!$B$1:$B$6279,0)),"",INDIRECT("'SorP'!$A$"&amp;MATCH($S1277&amp;$J1277,SorP!C:C,0))))</f>
        <v/>
      </c>
      <c r="U1277" s="194"/>
      <c r="V1277" s="218" t="e">
        <f>IF(C1277="",NA(),IF(OR(C1277="Smelter not listed",C1277="Smelter not yet identified"),MATCH($B1277&amp;$D1277,'Smelter Look-up'!$J:$J,0),MATCH($B1277&amp;$C1277,'Smelter Look-up'!$J:$J,0)))</f>
        <v>#N/A</v>
      </c>
      <c r="X1277" s="219">
        <f t="shared" ca="1" si="184"/>
        <v>0</v>
      </c>
      <c r="AB1277" s="220" t="str">
        <f t="shared" si="185"/>
        <v/>
      </c>
    </row>
    <row r="1278" spans="1:28" s="219" customFormat="1" ht="20.25">
      <c r="A1278" s="174"/>
      <c r="B1278" s="175" t="str">
        <f>IF(LEN(A1278)=0,"",INDEX('Smelter Look-up'!$A:$A,MATCH($A1278,'Smelter Look-up'!$E:$E,0)))</f>
        <v/>
      </c>
      <c r="C1278" s="179" t="str">
        <f>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83"/>
        <v/>
      </c>
      <c r="T1278" s="174" t="str">
        <f ca="1">IF(B1278="","",IF(ISERROR(MATCH($J1278,SorP!$B$1:$B$6279,0)),"",INDIRECT("'SorP'!$A$"&amp;MATCH($S1278&amp;$J1278,SorP!C:C,0))))</f>
        <v/>
      </c>
      <c r="U1278" s="194"/>
      <c r="V1278" s="218" t="e">
        <f>IF(C1278="",NA(),IF(OR(C1278="Smelter not listed",C1278="Smelter not yet identified"),MATCH($B1278&amp;$D1278,'Smelter Look-up'!$J:$J,0),MATCH($B1278&amp;$C1278,'Smelter Look-up'!$J:$J,0)))</f>
        <v>#N/A</v>
      </c>
      <c r="X1278" s="219">
        <f t="shared" ca="1" si="184"/>
        <v>0</v>
      </c>
      <c r="AB1278" s="220" t="str">
        <f t="shared" si="185"/>
        <v/>
      </c>
    </row>
    <row r="1279" spans="1:28" s="219" customFormat="1" ht="20.25">
      <c r="A1279" s="174"/>
      <c r="B1279" s="175" t="str">
        <f>IF(LEN(A1279)=0,"",INDEX('Smelter Look-up'!$A:$A,MATCH($A1279,'Smelter Look-up'!$E:$E,0)))</f>
        <v/>
      </c>
      <c r="C1279" s="179" t="str">
        <f>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83"/>
        <v/>
      </c>
      <c r="T1279" s="174" t="str">
        <f ca="1">IF(B1279="","",IF(ISERROR(MATCH($J1279,SorP!$B$1:$B$6279,0)),"",INDIRECT("'SorP'!$A$"&amp;MATCH($S1279&amp;$J1279,SorP!C:C,0))))</f>
        <v/>
      </c>
      <c r="U1279" s="194"/>
      <c r="V1279" s="218" t="e">
        <f>IF(C1279="",NA(),IF(OR(C1279="Smelter not listed",C1279="Smelter not yet identified"),MATCH($B1279&amp;$D1279,'Smelter Look-up'!$J:$J,0),MATCH($B1279&amp;$C1279,'Smelter Look-up'!$J:$J,0)))</f>
        <v>#N/A</v>
      </c>
      <c r="X1279" s="219">
        <f t="shared" ca="1" si="184"/>
        <v>0</v>
      </c>
      <c r="AB1279" s="220" t="str">
        <f t="shared" si="185"/>
        <v/>
      </c>
    </row>
    <row r="1280" spans="1:28" s="219" customFormat="1" ht="20.25">
      <c r="A1280" s="174"/>
      <c r="B1280" s="175" t="str">
        <f>IF(LEN(A1280)=0,"",INDEX('Smelter Look-up'!$A:$A,MATCH($A1280,'Smelter Look-up'!$E:$E,0)))</f>
        <v/>
      </c>
      <c r="C1280" s="179" t="str">
        <f>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83"/>
        <v/>
      </c>
      <c r="T1280" s="174" t="str">
        <f ca="1">IF(B1280="","",IF(ISERROR(MATCH($J1280,SorP!$B$1:$B$6279,0)),"",INDIRECT("'SorP'!$A$"&amp;MATCH($S1280&amp;$J1280,SorP!C:C,0))))</f>
        <v/>
      </c>
      <c r="U1280" s="194"/>
      <c r="V1280" s="218" t="e">
        <f>IF(C1280="",NA(),IF(OR(C1280="Smelter not listed",C1280="Smelter not yet identified"),MATCH($B1280&amp;$D1280,'Smelter Look-up'!$J:$J,0),MATCH($B1280&amp;$C1280,'Smelter Look-up'!$J:$J,0)))</f>
        <v>#N/A</v>
      </c>
      <c r="X1280" s="219">
        <f t="shared" ca="1" si="184"/>
        <v>0</v>
      </c>
      <c r="AB1280" s="220" t="str">
        <f t="shared" si="185"/>
        <v/>
      </c>
    </row>
    <row r="1281" spans="1:28" s="219" customFormat="1" ht="20.25">
      <c r="A1281" s="174"/>
      <c r="B1281" s="175" t="str">
        <f>IF(LEN(A1281)=0,"",INDEX('Smelter Look-up'!$A:$A,MATCH($A1281,'Smelter Look-up'!$E:$E,0)))</f>
        <v/>
      </c>
      <c r="C1281" s="179" t="str">
        <f>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83"/>
        <v/>
      </c>
      <c r="T1281" s="174" t="str">
        <f ca="1">IF(B1281="","",IF(ISERROR(MATCH($J1281,SorP!$B$1:$B$6279,0)),"",INDIRECT("'SorP'!$A$"&amp;MATCH($S1281&amp;$J1281,SorP!C:C,0))))</f>
        <v/>
      </c>
      <c r="U1281" s="194"/>
      <c r="V1281" s="218" t="e">
        <f>IF(C1281="",NA(),IF(OR(C1281="Smelter not listed",C1281="Smelter not yet identified"),MATCH($B1281&amp;$D1281,'Smelter Look-up'!$J:$J,0),MATCH($B1281&amp;$C1281,'Smelter Look-up'!$J:$J,0)))</f>
        <v>#N/A</v>
      </c>
      <c r="X1281" s="219">
        <f t="shared" ca="1" si="184"/>
        <v>0</v>
      </c>
      <c r="AB1281" s="220" t="str">
        <f t="shared" si="185"/>
        <v/>
      </c>
    </row>
    <row r="1282" spans="1:28" s="219" customFormat="1" ht="20.25">
      <c r="A1282" s="174"/>
      <c r="B1282" s="175" t="str">
        <f>IF(LEN(A1282)=0,"",INDEX('Smelter Look-up'!$A:$A,MATCH($A1282,'Smelter Look-up'!$E:$E,0)))</f>
        <v/>
      </c>
      <c r="C1282" s="179" t="str">
        <f>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83"/>
        <v/>
      </c>
      <c r="T1282" s="174" t="str">
        <f ca="1">IF(B1282="","",IF(ISERROR(MATCH($J1282,SorP!$B$1:$B$6279,0)),"",INDIRECT("'SorP'!$A$"&amp;MATCH($S1282&amp;$J1282,SorP!C:C,0))))</f>
        <v/>
      </c>
      <c r="U1282" s="194"/>
      <c r="V1282" s="218" t="e">
        <f>IF(C1282="",NA(),IF(OR(C1282="Smelter not listed",C1282="Smelter not yet identified"),MATCH($B1282&amp;$D1282,'Smelter Look-up'!$J:$J,0),MATCH($B1282&amp;$C1282,'Smelter Look-up'!$J:$J,0)))</f>
        <v>#N/A</v>
      </c>
      <c r="X1282" s="219">
        <f t="shared" ca="1" si="184"/>
        <v>0</v>
      </c>
      <c r="AB1282" s="220" t="str">
        <f t="shared" si="185"/>
        <v/>
      </c>
    </row>
    <row r="1283" spans="1:28" s="219" customFormat="1" ht="20.25">
      <c r="A1283" s="174"/>
      <c r="B1283" s="175" t="str">
        <f>IF(LEN(A1283)=0,"",INDEX('Smelter Look-up'!$A:$A,MATCH($A1283,'Smelter Look-up'!$E:$E,0)))</f>
        <v/>
      </c>
      <c r="C1283" s="179" t="str">
        <f>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83"/>
        <v/>
      </c>
      <c r="T1283" s="174" t="str">
        <f ca="1">IF(B1283="","",IF(ISERROR(MATCH($J1283,SorP!$B$1:$B$6279,0)),"",INDIRECT("'SorP'!$A$"&amp;MATCH($S1283&amp;$J1283,SorP!C:C,0))))</f>
        <v/>
      </c>
      <c r="U1283" s="194"/>
      <c r="V1283" s="218" t="e">
        <f>IF(C1283="",NA(),IF(OR(C1283="Smelter not listed",C1283="Smelter not yet identified"),MATCH($B1283&amp;$D1283,'Smelter Look-up'!$J:$J,0),MATCH($B1283&amp;$C1283,'Smelter Look-up'!$J:$J,0)))</f>
        <v>#N/A</v>
      </c>
      <c r="X1283" s="219">
        <f t="shared" ca="1" si="184"/>
        <v>0</v>
      </c>
      <c r="AB1283" s="220" t="str">
        <f t="shared" si="185"/>
        <v/>
      </c>
    </row>
    <row r="1284" spans="1:28" s="219" customFormat="1" ht="20.25">
      <c r="A1284" s="174"/>
      <c r="B1284" s="175" t="str">
        <f>IF(LEN(A1284)=0,"",INDEX('Smelter Look-up'!$A:$A,MATCH($A1284,'Smelter Look-up'!$E:$E,0)))</f>
        <v/>
      </c>
      <c r="C1284" s="179" t="str">
        <f>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83"/>
        <v/>
      </c>
      <c r="T1284" s="174" t="str">
        <f ca="1">IF(B1284="","",IF(ISERROR(MATCH($J1284,SorP!$B$1:$B$6279,0)),"",INDIRECT("'SorP'!$A$"&amp;MATCH($S1284&amp;$J1284,SorP!C:C,0))))</f>
        <v/>
      </c>
      <c r="U1284" s="194"/>
      <c r="V1284" s="218" t="e">
        <f>IF(C1284="",NA(),IF(OR(C1284="Smelter not listed",C1284="Smelter not yet identified"),MATCH($B1284&amp;$D1284,'Smelter Look-up'!$J:$J,0),MATCH($B1284&amp;$C1284,'Smelter Look-up'!$J:$J,0)))</f>
        <v>#N/A</v>
      </c>
      <c r="X1284" s="219">
        <f t="shared" ca="1" si="184"/>
        <v>0</v>
      </c>
      <c r="AB1284" s="220" t="str">
        <f t="shared" si="185"/>
        <v/>
      </c>
    </row>
    <row r="1285" spans="1:28" s="219" customFormat="1" ht="20.25">
      <c r="A1285" s="174"/>
      <c r="B1285" s="175" t="str">
        <f>IF(LEN(A1285)=0,"",INDEX('Smelter Look-up'!$A:$A,MATCH($A1285,'Smelter Look-up'!$E:$E,0)))</f>
        <v/>
      </c>
      <c r="C1285" s="179" t="str">
        <f>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83"/>
        <v/>
      </c>
      <c r="T1285" s="174" t="str">
        <f ca="1">IF(B1285="","",IF(ISERROR(MATCH($J1285,SorP!$B$1:$B$6279,0)),"",INDIRECT("'SorP'!$A$"&amp;MATCH($S1285&amp;$J1285,SorP!C:C,0))))</f>
        <v/>
      </c>
      <c r="U1285" s="194"/>
      <c r="V1285" s="218" t="e">
        <f>IF(C1285="",NA(),IF(OR(C1285="Smelter not listed",C1285="Smelter not yet identified"),MATCH($B1285&amp;$D1285,'Smelter Look-up'!$J:$J,0),MATCH($B1285&amp;$C1285,'Smelter Look-up'!$J:$J,0)))</f>
        <v>#N/A</v>
      </c>
      <c r="X1285" s="219">
        <f t="shared" ca="1" si="184"/>
        <v>0</v>
      </c>
      <c r="AB1285" s="220" t="str">
        <f t="shared" si="185"/>
        <v/>
      </c>
    </row>
    <row r="1286" spans="1:28" s="219" customFormat="1" ht="20.25">
      <c r="A1286" s="174"/>
      <c r="B1286" s="175" t="str">
        <f>IF(LEN(A1286)=0,"",INDEX('Smelter Look-up'!$A:$A,MATCH($A1286,'Smelter Look-up'!$E:$E,0)))</f>
        <v/>
      </c>
      <c r="C1286" s="179" t="str">
        <f>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83"/>
        <v/>
      </c>
      <c r="T1286" s="174" t="str">
        <f ca="1">IF(B1286="","",IF(ISERROR(MATCH($J1286,SorP!$B$1:$B$6279,0)),"",INDIRECT("'SorP'!$A$"&amp;MATCH($S1286&amp;$J1286,SorP!C:C,0))))</f>
        <v/>
      </c>
      <c r="U1286" s="194"/>
      <c r="V1286" s="218" t="e">
        <f>IF(C1286="",NA(),IF(OR(C1286="Smelter not listed",C1286="Smelter not yet identified"),MATCH($B1286&amp;$D1286,'Smelter Look-up'!$J:$J,0),MATCH($B1286&amp;$C1286,'Smelter Look-up'!$J:$J,0)))</f>
        <v>#N/A</v>
      </c>
      <c r="X1286" s="219">
        <f t="shared" ca="1" si="184"/>
        <v>0</v>
      </c>
      <c r="AB1286" s="220" t="str">
        <f t="shared" si="185"/>
        <v/>
      </c>
    </row>
    <row r="1287" spans="1:28" s="219" customFormat="1" ht="20.25">
      <c r="A1287" s="174"/>
      <c r="B1287" s="175" t="str">
        <f>IF(LEN(A1287)=0,"",INDEX('Smelter Look-up'!$A:$A,MATCH($A1287,'Smelter Look-up'!$E:$E,0)))</f>
        <v/>
      </c>
      <c r="C1287" s="179" t="str">
        <f>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83"/>
        <v/>
      </c>
      <c r="T1287" s="174" t="str">
        <f ca="1">IF(B1287="","",IF(ISERROR(MATCH($J1287,SorP!$B$1:$B$6279,0)),"",INDIRECT("'SorP'!$A$"&amp;MATCH($S1287&amp;$J1287,SorP!C:C,0))))</f>
        <v/>
      </c>
      <c r="U1287" s="194"/>
      <c r="V1287" s="218" t="e">
        <f>IF(C1287="",NA(),IF(OR(C1287="Smelter not listed",C1287="Smelter not yet identified"),MATCH($B1287&amp;$D1287,'Smelter Look-up'!$J:$J,0),MATCH($B1287&amp;$C1287,'Smelter Look-up'!$J:$J,0)))</f>
        <v>#N/A</v>
      </c>
      <c r="X1287" s="219">
        <f t="shared" ca="1" si="184"/>
        <v>0</v>
      </c>
      <c r="AB1287" s="220" t="str">
        <f t="shared" si="185"/>
        <v/>
      </c>
    </row>
    <row r="1288" spans="1:28" s="219" customFormat="1" ht="20.25">
      <c r="A1288" s="174"/>
      <c r="B1288" s="175" t="str">
        <f>IF(LEN(A1288)=0,"",INDEX('Smelter Look-up'!$A:$A,MATCH($A1288,'Smelter Look-up'!$E:$E,0)))</f>
        <v/>
      </c>
      <c r="C1288" s="179" t="str">
        <f>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83"/>
        <v/>
      </c>
      <c r="T1288" s="174" t="str">
        <f ca="1">IF(B1288="","",IF(ISERROR(MATCH($J1288,SorP!$B$1:$B$6279,0)),"",INDIRECT("'SorP'!$A$"&amp;MATCH($S1288&amp;$J1288,SorP!C:C,0))))</f>
        <v/>
      </c>
      <c r="U1288" s="194"/>
      <c r="V1288" s="218" t="e">
        <f>IF(C1288="",NA(),IF(OR(C1288="Smelter not listed",C1288="Smelter not yet identified"),MATCH($B1288&amp;$D1288,'Smelter Look-up'!$J:$J,0),MATCH($B1288&amp;$C1288,'Smelter Look-up'!$J:$J,0)))</f>
        <v>#N/A</v>
      </c>
      <c r="X1288" s="219">
        <f t="shared" ca="1" si="184"/>
        <v>0</v>
      </c>
      <c r="AB1288" s="220" t="str">
        <f t="shared" si="185"/>
        <v/>
      </c>
    </row>
    <row r="1289" spans="1:28" s="219" customFormat="1" ht="20.25">
      <c r="A1289" s="174"/>
      <c r="B1289" s="175" t="str">
        <f>IF(LEN(A1289)=0,"",INDEX('Smelter Look-up'!$A:$A,MATCH($A1289,'Smelter Look-up'!$E:$E,0)))</f>
        <v/>
      </c>
      <c r="C1289" s="179" t="str">
        <f>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83"/>
        <v/>
      </c>
      <c r="T1289" s="174" t="str">
        <f ca="1">IF(B1289="","",IF(ISERROR(MATCH($J1289,SorP!$B$1:$B$6279,0)),"",INDIRECT("'SorP'!$A$"&amp;MATCH($S1289&amp;$J1289,SorP!C:C,0))))</f>
        <v/>
      </c>
      <c r="U1289" s="194"/>
      <c r="V1289" s="218" t="e">
        <f>IF(C1289="",NA(),IF(OR(C1289="Smelter not listed",C1289="Smelter not yet identified"),MATCH($B1289&amp;$D1289,'Smelter Look-up'!$J:$J,0),MATCH($B1289&amp;$C1289,'Smelter Look-up'!$J:$J,0)))</f>
        <v>#N/A</v>
      </c>
      <c r="X1289" s="219">
        <f t="shared" ca="1" si="184"/>
        <v>0</v>
      </c>
      <c r="AB1289" s="220" t="str">
        <f t="shared" si="185"/>
        <v/>
      </c>
    </row>
    <row r="1290" spans="1:28" s="219" customFormat="1" ht="20.25">
      <c r="A1290" s="174"/>
      <c r="B1290" s="175" t="str">
        <f>IF(LEN(A1290)=0,"",INDEX('Smelter Look-up'!$A:$A,MATCH($A1290,'Smelter Look-up'!$E:$E,0)))</f>
        <v/>
      </c>
      <c r="C1290" s="179" t="str">
        <f>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83"/>
        <v/>
      </c>
      <c r="T1290" s="174" t="str">
        <f ca="1">IF(B1290="","",IF(ISERROR(MATCH($J1290,SorP!$B$1:$B$6279,0)),"",INDIRECT("'SorP'!$A$"&amp;MATCH($S1290&amp;$J1290,SorP!C:C,0))))</f>
        <v/>
      </c>
      <c r="U1290" s="194"/>
      <c r="V1290" s="218" t="e">
        <f>IF(C1290="",NA(),IF(OR(C1290="Smelter not listed",C1290="Smelter not yet identified"),MATCH($B1290&amp;$D1290,'Smelter Look-up'!$J:$J,0),MATCH($B1290&amp;$C1290,'Smelter Look-up'!$J:$J,0)))</f>
        <v>#N/A</v>
      </c>
      <c r="X1290" s="219">
        <f t="shared" ca="1" si="184"/>
        <v>0</v>
      </c>
      <c r="AB1290" s="220" t="str">
        <f t="shared" si="185"/>
        <v/>
      </c>
    </row>
    <row r="1291" spans="1:28" s="219" customFormat="1" ht="20.25">
      <c r="A1291" s="174"/>
      <c r="B1291" s="175" t="str">
        <f>IF(LEN(A1291)=0,"",INDEX('Smelter Look-up'!$A:$A,MATCH($A1291,'Smelter Look-up'!$E:$E,0)))</f>
        <v/>
      </c>
      <c r="C1291" s="179" t="str">
        <f>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83"/>
        <v/>
      </c>
      <c r="T1291" s="174" t="str">
        <f ca="1">IF(B1291="","",IF(ISERROR(MATCH($J1291,SorP!$B$1:$B$6279,0)),"",INDIRECT("'SorP'!$A$"&amp;MATCH($S1291&amp;$J1291,SorP!C:C,0))))</f>
        <v/>
      </c>
      <c r="U1291" s="194"/>
      <c r="V1291" s="218" t="e">
        <f>IF(C1291="",NA(),IF(OR(C1291="Smelter not listed",C1291="Smelter not yet identified"),MATCH($B1291&amp;$D1291,'Smelter Look-up'!$J:$J,0),MATCH($B1291&amp;$C1291,'Smelter Look-up'!$J:$J,0)))</f>
        <v>#N/A</v>
      </c>
      <c r="X1291" s="219">
        <f t="shared" ca="1" si="184"/>
        <v>0</v>
      </c>
      <c r="AB1291" s="220" t="str">
        <f t="shared" si="185"/>
        <v/>
      </c>
    </row>
    <row r="1292" spans="1:28" s="219" customFormat="1" ht="20.25">
      <c r="A1292" s="174"/>
      <c r="B1292" s="175" t="str">
        <f>IF(LEN(A1292)=0,"",INDEX('Smelter Look-up'!$A:$A,MATCH($A1292,'Smelter Look-up'!$E:$E,0)))</f>
        <v/>
      </c>
      <c r="C1292" s="179" t="str">
        <f>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83"/>
        <v/>
      </c>
      <c r="T1292" s="174" t="str">
        <f ca="1">IF(B1292="","",IF(ISERROR(MATCH($J1292,SorP!$B$1:$B$6279,0)),"",INDIRECT("'SorP'!$A$"&amp;MATCH($S1292&amp;$J1292,SorP!C:C,0))))</f>
        <v/>
      </c>
      <c r="U1292" s="194"/>
      <c r="V1292" s="218" t="e">
        <f>IF(C1292="",NA(),IF(OR(C1292="Smelter not listed",C1292="Smelter not yet identified"),MATCH($B1292&amp;$D1292,'Smelter Look-up'!$J:$J,0),MATCH($B1292&amp;$C1292,'Smelter Look-up'!$J:$J,0)))</f>
        <v>#N/A</v>
      </c>
      <c r="X1292" s="219">
        <f t="shared" ca="1" si="184"/>
        <v>0</v>
      </c>
      <c r="AB1292" s="220" t="str">
        <f t="shared" si="185"/>
        <v/>
      </c>
    </row>
    <row r="1293" spans="1:28" s="219" customFormat="1" ht="20.25">
      <c r="A1293" s="174"/>
      <c r="B1293" s="175" t="str">
        <f>IF(LEN(A1293)=0,"",INDEX('Smelter Look-up'!$A:$A,MATCH($A1293,'Smelter Look-up'!$E:$E,0)))</f>
        <v/>
      </c>
      <c r="C1293" s="179" t="str">
        <f>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83"/>
        <v/>
      </c>
      <c r="T1293" s="174" t="str">
        <f ca="1">IF(B1293="","",IF(ISERROR(MATCH($J1293,SorP!$B$1:$B$6279,0)),"",INDIRECT("'SorP'!$A$"&amp;MATCH($S1293&amp;$J1293,SorP!C:C,0))))</f>
        <v/>
      </c>
      <c r="U1293" s="194"/>
      <c r="V1293" s="218" t="e">
        <f>IF(C1293="",NA(),IF(OR(C1293="Smelter not listed",C1293="Smelter not yet identified"),MATCH($B1293&amp;$D1293,'Smelter Look-up'!$J:$J,0),MATCH($B1293&amp;$C1293,'Smelter Look-up'!$J:$J,0)))</f>
        <v>#N/A</v>
      </c>
      <c r="X1293" s="219">
        <f t="shared" ca="1" si="184"/>
        <v>0</v>
      </c>
      <c r="AB1293" s="220" t="str">
        <f t="shared" si="185"/>
        <v/>
      </c>
    </row>
    <row r="1294" spans="1:28" s="219" customFormat="1" ht="20.25">
      <c r="A1294" s="174"/>
      <c r="B1294" s="175" t="str">
        <f>IF(LEN(A1294)=0,"",INDEX('Smelter Look-up'!$A:$A,MATCH($A1294,'Smelter Look-up'!$E:$E,0)))</f>
        <v/>
      </c>
      <c r="C1294" s="179" t="str">
        <f>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83"/>
        <v/>
      </c>
      <c r="T1294" s="174" t="str">
        <f ca="1">IF(B1294="","",IF(ISERROR(MATCH($J1294,SorP!$B$1:$B$6279,0)),"",INDIRECT("'SorP'!$A$"&amp;MATCH($S1294&amp;$J1294,SorP!C:C,0))))</f>
        <v/>
      </c>
      <c r="U1294" s="194"/>
      <c r="V1294" s="218" t="e">
        <f>IF(C1294="",NA(),IF(OR(C1294="Smelter not listed",C1294="Smelter not yet identified"),MATCH($B1294&amp;$D1294,'Smelter Look-up'!$J:$J,0),MATCH($B1294&amp;$C1294,'Smelter Look-up'!$J:$J,0)))</f>
        <v>#N/A</v>
      </c>
      <c r="X1294" s="219">
        <f t="shared" ca="1" si="184"/>
        <v>0</v>
      </c>
      <c r="AB1294" s="220" t="str">
        <f t="shared" si="185"/>
        <v/>
      </c>
    </row>
    <row r="1295" spans="1:28" s="219" customFormat="1" ht="20.25">
      <c r="A1295" s="174"/>
      <c r="B1295" s="175" t="str">
        <f>IF(LEN(A1295)=0,"",INDEX('Smelter Look-up'!$A:$A,MATCH($A1295,'Smelter Look-up'!$E:$E,0)))</f>
        <v/>
      </c>
      <c r="C1295" s="179" t="str">
        <f>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83"/>
        <v/>
      </c>
      <c r="T1295" s="174" t="str">
        <f ca="1">IF(B1295="","",IF(ISERROR(MATCH($J1295,SorP!$B$1:$B$6279,0)),"",INDIRECT("'SorP'!$A$"&amp;MATCH($S1295&amp;$J1295,SorP!C:C,0))))</f>
        <v/>
      </c>
      <c r="U1295" s="194"/>
      <c r="V1295" s="218" t="e">
        <f>IF(C1295="",NA(),IF(OR(C1295="Smelter not listed",C1295="Smelter not yet identified"),MATCH($B1295&amp;$D1295,'Smelter Look-up'!$J:$J,0),MATCH($B1295&amp;$C1295,'Smelter Look-up'!$J:$J,0)))</f>
        <v>#N/A</v>
      </c>
      <c r="X1295" s="219">
        <f t="shared" ca="1" si="184"/>
        <v>0</v>
      </c>
      <c r="AB1295" s="220" t="str">
        <f t="shared" si="185"/>
        <v/>
      </c>
    </row>
    <row r="1296" spans="1:28" s="219" customFormat="1" ht="20.25">
      <c r="A1296" s="174"/>
      <c r="B1296" s="175" t="str">
        <f>IF(LEN(A1296)=0,"",INDEX('Smelter Look-up'!$A:$A,MATCH($A1296,'Smelter Look-up'!$E:$E,0)))</f>
        <v/>
      </c>
      <c r="C1296" s="179" t="str">
        <f>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83"/>
        <v/>
      </c>
      <c r="T1296" s="174" t="str">
        <f ca="1">IF(B1296="","",IF(ISERROR(MATCH($J1296,SorP!$B$1:$B$6279,0)),"",INDIRECT("'SorP'!$A$"&amp;MATCH($S1296&amp;$J1296,SorP!C:C,0))))</f>
        <v/>
      </c>
      <c r="U1296" s="194"/>
      <c r="V1296" s="218" t="e">
        <f>IF(C1296="",NA(),IF(OR(C1296="Smelter not listed",C1296="Smelter not yet identified"),MATCH($B1296&amp;$D1296,'Smelter Look-up'!$J:$J,0),MATCH($B1296&amp;$C1296,'Smelter Look-up'!$J:$J,0)))</f>
        <v>#N/A</v>
      </c>
      <c r="X1296" s="219">
        <f t="shared" ca="1" si="184"/>
        <v>0</v>
      </c>
      <c r="AB1296" s="220" t="str">
        <f t="shared" si="185"/>
        <v/>
      </c>
    </row>
    <row r="1297" spans="1:28" s="219" customFormat="1" ht="20.25">
      <c r="A1297" s="174"/>
      <c r="B1297" s="175" t="str">
        <f>IF(LEN(A1297)=0,"",INDEX('Smelter Look-up'!$A:$A,MATCH($A1297,'Smelter Look-up'!$E:$E,0)))</f>
        <v/>
      </c>
      <c r="C1297" s="179" t="str">
        <f>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83"/>
        <v/>
      </c>
      <c r="T1297" s="174" t="str">
        <f ca="1">IF(B1297="","",IF(ISERROR(MATCH($J1297,SorP!$B$1:$B$6279,0)),"",INDIRECT("'SorP'!$A$"&amp;MATCH($S1297&amp;$J1297,SorP!C:C,0))))</f>
        <v/>
      </c>
      <c r="U1297" s="194"/>
      <c r="V1297" s="218" t="e">
        <f>IF(C1297="",NA(),IF(OR(C1297="Smelter not listed",C1297="Smelter not yet identified"),MATCH($B1297&amp;$D1297,'Smelter Look-up'!$J:$J,0),MATCH($B1297&amp;$C1297,'Smelter Look-up'!$J:$J,0)))</f>
        <v>#N/A</v>
      </c>
      <c r="X1297" s="219">
        <f t="shared" ca="1" si="184"/>
        <v>0</v>
      </c>
      <c r="AB1297" s="220" t="str">
        <f t="shared" si="185"/>
        <v/>
      </c>
    </row>
    <row r="1298" spans="1:28" s="219" customFormat="1" ht="20.25">
      <c r="A1298" s="174"/>
      <c r="B1298" s="175" t="str">
        <f>IF(LEN(A1298)=0,"",INDEX('Smelter Look-up'!$A:$A,MATCH($A1298,'Smelter Look-up'!$E:$E,0)))</f>
        <v/>
      </c>
      <c r="C1298" s="179" t="str">
        <f>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83"/>
        <v/>
      </c>
      <c r="T1298" s="174" t="str">
        <f ca="1">IF(B1298="","",IF(ISERROR(MATCH($J1298,SorP!$B$1:$B$6279,0)),"",INDIRECT("'SorP'!$A$"&amp;MATCH($S1298&amp;$J1298,SorP!C:C,0))))</f>
        <v/>
      </c>
      <c r="U1298" s="194"/>
      <c r="V1298" s="218" t="e">
        <f>IF(C1298="",NA(),IF(OR(C1298="Smelter not listed",C1298="Smelter not yet identified"),MATCH($B1298&amp;$D1298,'Smelter Look-up'!$J:$J,0),MATCH($B1298&amp;$C1298,'Smelter Look-up'!$J:$J,0)))</f>
        <v>#N/A</v>
      </c>
      <c r="X1298" s="219">
        <f t="shared" ca="1" si="184"/>
        <v>0</v>
      </c>
      <c r="AB1298" s="220" t="str">
        <f t="shared" si="185"/>
        <v/>
      </c>
    </row>
    <row r="1299" spans="1:28" s="219" customFormat="1" ht="20.25">
      <c r="A1299" s="174"/>
      <c r="B1299" s="175" t="str">
        <f>IF(LEN(A1299)=0,"",INDEX('Smelter Look-up'!$A:$A,MATCH($A1299,'Smelter Look-up'!$E:$E,0)))</f>
        <v/>
      </c>
      <c r="C1299" s="179" t="str">
        <f>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83"/>
        <v/>
      </c>
      <c r="T1299" s="174" t="str">
        <f ca="1">IF(B1299="","",IF(ISERROR(MATCH($J1299,SorP!$B$1:$B$6279,0)),"",INDIRECT("'SorP'!$A$"&amp;MATCH($S1299&amp;$J1299,SorP!C:C,0))))</f>
        <v/>
      </c>
      <c r="U1299" s="194"/>
      <c r="V1299" s="218" t="e">
        <f>IF(C1299="",NA(),IF(OR(C1299="Smelter not listed",C1299="Smelter not yet identified"),MATCH($B1299&amp;$D1299,'Smelter Look-up'!$J:$J,0),MATCH($B1299&amp;$C1299,'Smelter Look-up'!$J:$J,0)))</f>
        <v>#N/A</v>
      </c>
      <c r="X1299" s="219">
        <f t="shared" ca="1" si="184"/>
        <v>0</v>
      </c>
      <c r="AB1299" s="220" t="str">
        <f t="shared" si="185"/>
        <v/>
      </c>
    </row>
    <row r="1300" spans="1:28" s="219" customFormat="1" ht="20.25">
      <c r="A1300" s="174"/>
      <c r="B1300" s="175" t="str">
        <f>IF(LEN(A1300)=0,"",INDEX('Smelter Look-up'!$A:$A,MATCH($A1300,'Smelter Look-up'!$E:$E,0)))</f>
        <v/>
      </c>
      <c r="C1300" s="179" t="str">
        <f>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83"/>
        <v/>
      </c>
      <c r="T1300" s="174" t="str">
        <f ca="1">IF(B1300="","",IF(ISERROR(MATCH($J1300,SorP!$B$1:$B$6279,0)),"",INDIRECT("'SorP'!$A$"&amp;MATCH($S1300&amp;$J1300,SorP!C:C,0))))</f>
        <v/>
      </c>
      <c r="U1300" s="194"/>
      <c r="V1300" s="218" t="e">
        <f>IF(C1300="",NA(),IF(OR(C1300="Smelter not listed",C1300="Smelter not yet identified"),MATCH($B1300&amp;$D1300,'Smelter Look-up'!$J:$J,0),MATCH($B1300&amp;$C1300,'Smelter Look-up'!$J:$J,0)))</f>
        <v>#N/A</v>
      </c>
      <c r="X1300" s="219">
        <f t="shared" ca="1" si="184"/>
        <v>0</v>
      </c>
      <c r="AB1300" s="220" t="str">
        <f t="shared" si="185"/>
        <v/>
      </c>
    </row>
    <row r="1301" spans="1:28" s="219" customFormat="1" ht="20.25">
      <c r="A1301" s="174"/>
      <c r="B1301" s="175" t="str">
        <f>IF(LEN(A1301)=0,"",INDEX('Smelter Look-up'!$A:$A,MATCH($A1301,'Smelter Look-up'!$E:$E,0)))</f>
        <v/>
      </c>
      <c r="C1301" s="179" t="str">
        <f>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83"/>
        <v/>
      </c>
      <c r="T1301" s="174" t="str">
        <f ca="1">IF(B1301="","",IF(ISERROR(MATCH($J1301,SorP!$B$1:$B$6279,0)),"",INDIRECT("'SorP'!$A$"&amp;MATCH($S1301&amp;$J1301,SorP!C:C,0))))</f>
        <v/>
      </c>
      <c r="U1301" s="194"/>
      <c r="V1301" s="218" t="e">
        <f>IF(C1301="",NA(),IF(OR(C1301="Smelter not listed",C1301="Smelter not yet identified"),MATCH($B1301&amp;$D1301,'Smelter Look-up'!$J:$J,0),MATCH($B1301&amp;$C1301,'Smelter Look-up'!$J:$J,0)))</f>
        <v>#N/A</v>
      </c>
      <c r="X1301" s="219">
        <f t="shared" ca="1" si="184"/>
        <v>0</v>
      </c>
      <c r="AB1301" s="220" t="str">
        <f t="shared" si="185"/>
        <v/>
      </c>
    </row>
    <row r="1302" spans="1:28" s="219" customFormat="1" ht="20.25">
      <c r="A1302" s="174"/>
      <c r="B1302" s="175" t="str">
        <f>IF(LEN(A1302)=0,"",INDEX('Smelter Look-up'!$A:$A,MATCH($A1302,'Smelter Look-up'!$E:$E,0)))</f>
        <v/>
      </c>
      <c r="C1302" s="179" t="str">
        <f>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83"/>
        <v/>
      </c>
      <c r="T1302" s="174" t="str">
        <f ca="1">IF(B1302="","",IF(ISERROR(MATCH($J1302,SorP!$B$1:$B$6279,0)),"",INDIRECT("'SorP'!$A$"&amp;MATCH($S1302&amp;$J1302,SorP!C:C,0))))</f>
        <v/>
      </c>
      <c r="U1302" s="194"/>
      <c r="V1302" s="218" t="e">
        <f>IF(C1302="",NA(),IF(OR(C1302="Smelter not listed",C1302="Smelter not yet identified"),MATCH($B1302&amp;$D1302,'Smelter Look-up'!$J:$J,0),MATCH($B1302&amp;$C1302,'Smelter Look-up'!$J:$J,0)))</f>
        <v>#N/A</v>
      </c>
      <c r="X1302" s="219">
        <f t="shared" ca="1" si="184"/>
        <v>0</v>
      </c>
      <c r="AB1302" s="220" t="str">
        <f t="shared" si="185"/>
        <v/>
      </c>
    </row>
    <row r="1303" spans="1:28" s="219" customFormat="1" ht="20.25">
      <c r="A1303" s="174"/>
      <c r="B1303" s="175" t="str">
        <f>IF(LEN(A1303)=0,"",INDEX('Smelter Look-up'!$A:$A,MATCH($A1303,'Smelter Look-up'!$E:$E,0)))</f>
        <v/>
      </c>
      <c r="C1303" s="179" t="str">
        <f>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83"/>
        <v/>
      </c>
      <c r="T1303" s="174" t="str">
        <f ca="1">IF(B1303="","",IF(ISERROR(MATCH($J1303,SorP!$B$1:$B$6279,0)),"",INDIRECT("'SorP'!$A$"&amp;MATCH($S1303&amp;$J1303,SorP!C:C,0))))</f>
        <v/>
      </c>
      <c r="U1303" s="194"/>
      <c r="V1303" s="218" t="e">
        <f>IF(C1303="",NA(),IF(OR(C1303="Smelter not listed",C1303="Smelter not yet identified"),MATCH($B1303&amp;$D1303,'Smelter Look-up'!$J:$J,0),MATCH($B1303&amp;$C1303,'Smelter Look-up'!$J:$J,0)))</f>
        <v>#N/A</v>
      </c>
      <c r="X1303" s="219">
        <f t="shared" ca="1" si="184"/>
        <v>0</v>
      </c>
      <c r="AB1303" s="220" t="str">
        <f t="shared" si="185"/>
        <v/>
      </c>
    </row>
    <row r="1304" spans="1:28" s="219" customFormat="1" ht="20.25">
      <c r="A1304" s="174"/>
      <c r="B1304" s="175" t="str">
        <f>IF(LEN(A1304)=0,"",INDEX('Smelter Look-up'!$A:$A,MATCH($A1304,'Smelter Look-up'!$E:$E,0)))</f>
        <v/>
      </c>
      <c r="C1304" s="179" t="str">
        <f>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83"/>
        <v/>
      </c>
      <c r="T1304" s="174" t="str">
        <f ca="1">IF(B1304="","",IF(ISERROR(MATCH($J1304,SorP!$B$1:$B$6279,0)),"",INDIRECT("'SorP'!$A$"&amp;MATCH($S1304&amp;$J1304,SorP!C:C,0))))</f>
        <v/>
      </c>
      <c r="U1304" s="194"/>
      <c r="V1304" s="218" t="e">
        <f>IF(C1304="",NA(),IF(OR(C1304="Smelter not listed",C1304="Smelter not yet identified"),MATCH($B1304&amp;$D1304,'Smelter Look-up'!$J:$J,0),MATCH($B1304&amp;$C1304,'Smelter Look-up'!$J:$J,0)))</f>
        <v>#N/A</v>
      </c>
      <c r="X1304" s="219">
        <f t="shared" ca="1" si="184"/>
        <v>0</v>
      </c>
      <c r="AB1304" s="220" t="str">
        <f t="shared" si="185"/>
        <v/>
      </c>
    </row>
    <row r="1305" spans="1:28" s="219" customFormat="1" ht="20.25">
      <c r="A1305" s="174"/>
      <c r="B1305" s="175" t="str">
        <f>IF(LEN(A1305)=0,"",INDEX('Smelter Look-up'!$A:$A,MATCH($A1305,'Smelter Look-up'!$E:$E,0)))</f>
        <v/>
      </c>
      <c r="C1305" s="179" t="str">
        <f>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83"/>
        <v/>
      </c>
      <c r="T1305" s="174" t="str">
        <f ca="1">IF(B1305="","",IF(ISERROR(MATCH($J1305,SorP!$B$1:$B$6279,0)),"",INDIRECT("'SorP'!$A$"&amp;MATCH($S1305&amp;$J1305,SorP!C:C,0))))</f>
        <v/>
      </c>
      <c r="U1305" s="194"/>
      <c r="V1305" s="218" t="e">
        <f>IF(C1305="",NA(),IF(OR(C1305="Smelter not listed",C1305="Smelter not yet identified"),MATCH($B1305&amp;$D1305,'Smelter Look-up'!$J:$J,0),MATCH($B1305&amp;$C1305,'Smelter Look-up'!$J:$J,0)))</f>
        <v>#N/A</v>
      </c>
      <c r="X1305" s="219">
        <f t="shared" ca="1" si="184"/>
        <v>0</v>
      </c>
      <c r="AB1305" s="220" t="str">
        <f t="shared" si="185"/>
        <v/>
      </c>
    </row>
    <row r="1306" spans="1:28" s="219" customFormat="1" ht="20.25">
      <c r="A1306" s="174"/>
      <c r="B1306" s="175" t="str">
        <f>IF(LEN(A1306)=0,"",INDEX('Smelter Look-up'!$A:$A,MATCH($A1306,'Smelter Look-up'!$E:$E,0)))</f>
        <v/>
      </c>
      <c r="C1306" s="179" t="str">
        <f>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183"/>
        <v/>
      </c>
      <c r="T1306" s="174" t="str">
        <f ca="1">IF(B1306="","",IF(ISERROR(MATCH($J1306,SorP!$B$1:$B$6279,0)),"",INDIRECT("'SorP'!$A$"&amp;MATCH($S1306&amp;$J1306,SorP!C:C,0))))</f>
        <v/>
      </c>
      <c r="U1306" s="194"/>
      <c r="V1306" s="218" t="e">
        <f>IF(C1306="",NA(),IF(OR(C1306="Smelter not listed",C1306="Smelter not yet identified"),MATCH($B1306&amp;$D1306,'Smelter Look-up'!$J:$J,0),MATCH($B1306&amp;$C1306,'Smelter Look-up'!$J:$J,0)))</f>
        <v>#N/A</v>
      </c>
      <c r="X1306" s="219">
        <f t="shared" ca="1" si="184"/>
        <v>0</v>
      </c>
      <c r="AB1306" s="220" t="str">
        <f t="shared" si="185"/>
        <v/>
      </c>
    </row>
    <row r="1307" spans="1:28" s="219" customFormat="1" ht="20.25">
      <c r="A1307" s="174"/>
      <c r="B1307" s="175" t="str">
        <f>IF(LEN(A1307)=0,"",INDEX('Smelter Look-up'!$A:$A,MATCH($A1307,'Smelter Look-up'!$E:$E,0)))</f>
        <v/>
      </c>
      <c r="C1307" s="179" t="str">
        <f>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183"/>
        <v/>
      </c>
      <c r="T1307" s="174" t="str">
        <f ca="1">IF(B1307="","",IF(ISERROR(MATCH($J1307,SorP!$B$1:$B$6279,0)),"",INDIRECT("'SorP'!$A$"&amp;MATCH($S1307&amp;$J1307,SorP!C:C,0))))</f>
        <v/>
      </c>
      <c r="U1307" s="194"/>
      <c r="V1307" s="218" t="e">
        <f>IF(C1307="",NA(),IF(OR(C1307="Smelter not listed",C1307="Smelter not yet identified"),MATCH($B1307&amp;$D1307,'Smelter Look-up'!$J:$J,0),MATCH($B1307&amp;$C1307,'Smelter Look-up'!$J:$J,0)))</f>
        <v>#N/A</v>
      </c>
      <c r="X1307" s="219">
        <f t="shared" ca="1" si="184"/>
        <v>0</v>
      </c>
      <c r="AB1307" s="220" t="str">
        <f t="shared" si="185"/>
        <v/>
      </c>
    </row>
    <row r="1308" spans="1:28" s="219" customFormat="1" ht="20.25">
      <c r="A1308" s="174"/>
      <c r="B1308" s="175" t="str">
        <f>IF(LEN(A1308)=0,"",INDEX('Smelter Look-up'!$A:$A,MATCH($A1308,'Smelter Look-up'!$E:$E,0)))</f>
        <v/>
      </c>
      <c r="C1308" s="179" t="str">
        <f>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ref="S1308:S1338" ca="1" si="186">IF(B1308="","",IF(ISERROR(MATCH($E1308,CL,0)),"Unknown",INDIRECT("'C'!$A$"&amp;MATCH($E1308,CL,0)+1)))</f>
        <v/>
      </c>
      <c r="T1308" s="174" t="str">
        <f ca="1">IF(B1308="","",IF(ISERROR(MATCH($J1308,SorP!$B$1:$B$6279,0)),"",INDIRECT("'SorP'!$A$"&amp;MATCH($S1308&amp;$J1308,SorP!C:C,0))))</f>
        <v/>
      </c>
      <c r="U1308" s="194"/>
      <c r="V1308" s="218" t="e">
        <f>IF(C1308="",NA(),IF(OR(C1308="Smelter not listed",C1308="Smelter not yet identified"),MATCH($B1308&amp;$D1308,'Smelter Look-up'!$J:$J,0),MATCH($B1308&amp;$C1308,'Smelter Look-up'!$J:$J,0)))</f>
        <v>#N/A</v>
      </c>
      <c r="X1308" s="219">
        <f t="shared" ref="X1308:X1338" ca="1" si="187">IF(AND(C1308="Smelter not listed",OR(LEN(D1308)=0,LEN(E1308)=0)),1,0)</f>
        <v>0</v>
      </c>
      <c r="AB1308" s="220" t="str">
        <f t="shared" ref="AB1308:AB1338" si="188">B1308&amp;C1308</f>
        <v/>
      </c>
    </row>
    <row r="1309" spans="1:28" s="219" customFormat="1" ht="20.25">
      <c r="A1309" s="174"/>
      <c r="B1309" s="175" t="str">
        <f>IF(LEN(A1309)=0,"",INDEX('Smelter Look-up'!$A:$A,MATCH($A1309,'Smelter Look-up'!$E:$E,0)))</f>
        <v/>
      </c>
      <c r="C1309" s="179" t="str">
        <f>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86"/>
        <v/>
      </c>
      <c r="T1309" s="174" t="str">
        <f ca="1">IF(B1309="","",IF(ISERROR(MATCH($J1309,SorP!$B$1:$B$6279,0)),"",INDIRECT("'SorP'!$A$"&amp;MATCH($S1309&amp;$J1309,SorP!C:C,0))))</f>
        <v/>
      </c>
      <c r="U1309" s="194"/>
      <c r="V1309" s="218" t="e">
        <f>IF(C1309="",NA(),IF(OR(C1309="Smelter not listed",C1309="Smelter not yet identified"),MATCH($B1309&amp;$D1309,'Smelter Look-up'!$J:$J,0),MATCH($B1309&amp;$C1309,'Smelter Look-up'!$J:$J,0)))</f>
        <v>#N/A</v>
      </c>
      <c r="X1309" s="219">
        <f t="shared" ca="1" si="187"/>
        <v>0</v>
      </c>
      <c r="AB1309" s="220" t="str">
        <f t="shared" si="188"/>
        <v/>
      </c>
    </row>
    <row r="1310" spans="1:28" s="219" customFormat="1" ht="20.25">
      <c r="A1310" s="174"/>
      <c r="B1310" s="175" t="str">
        <f>IF(LEN(A1310)=0,"",INDEX('Smelter Look-up'!$A:$A,MATCH($A1310,'Smelter Look-up'!$E:$E,0)))</f>
        <v/>
      </c>
      <c r="C1310" s="179" t="str">
        <f>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86"/>
        <v/>
      </c>
      <c r="T1310" s="174" t="str">
        <f ca="1">IF(B1310="","",IF(ISERROR(MATCH($J1310,SorP!$B$1:$B$6279,0)),"",INDIRECT("'SorP'!$A$"&amp;MATCH($S1310&amp;$J1310,SorP!C:C,0))))</f>
        <v/>
      </c>
      <c r="U1310" s="194"/>
      <c r="V1310" s="218" t="e">
        <f>IF(C1310="",NA(),IF(OR(C1310="Smelter not listed",C1310="Smelter not yet identified"),MATCH($B1310&amp;$D1310,'Smelter Look-up'!$J:$J,0),MATCH($B1310&amp;$C1310,'Smelter Look-up'!$J:$J,0)))</f>
        <v>#N/A</v>
      </c>
      <c r="X1310" s="219">
        <f t="shared" ca="1" si="187"/>
        <v>0</v>
      </c>
      <c r="AB1310" s="220" t="str">
        <f t="shared" si="188"/>
        <v/>
      </c>
    </row>
    <row r="1311" spans="1:28" s="219" customFormat="1" ht="20.25">
      <c r="A1311" s="174"/>
      <c r="B1311" s="175" t="str">
        <f>IF(LEN(A1311)=0,"",INDEX('Smelter Look-up'!$A:$A,MATCH($A1311,'Smelter Look-up'!$E:$E,0)))</f>
        <v/>
      </c>
      <c r="C1311" s="179" t="str">
        <f>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86"/>
        <v/>
      </c>
      <c r="T1311" s="174" t="str">
        <f ca="1">IF(B1311="","",IF(ISERROR(MATCH($J1311,SorP!$B$1:$B$6279,0)),"",INDIRECT("'SorP'!$A$"&amp;MATCH($S1311&amp;$J1311,SorP!C:C,0))))</f>
        <v/>
      </c>
      <c r="U1311" s="194"/>
      <c r="V1311" s="218" t="e">
        <f>IF(C1311="",NA(),IF(OR(C1311="Smelter not listed",C1311="Smelter not yet identified"),MATCH($B1311&amp;$D1311,'Smelter Look-up'!$J:$J,0),MATCH($B1311&amp;$C1311,'Smelter Look-up'!$J:$J,0)))</f>
        <v>#N/A</v>
      </c>
      <c r="X1311" s="219">
        <f t="shared" ca="1" si="187"/>
        <v>0</v>
      </c>
      <c r="AB1311" s="220" t="str">
        <f t="shared" si="188"/>
        <v/>
      </c>
    </row>
    <row r="1312" spans="1:28" s="219" customFormat="1" ht="20.25">
      <c r="A1312" s="174"/>
      <c r="B1312" s="175" t="str">
        <f>IF(LEN(A1312)=0,"",INDEX('Smelter Look-up'!$A:$A,MATCH($A1312,'Smelter Look-up'!$E:$E,0)))</f>
        <v/>
      </c>
      <c r="C1312" s="179" t="str">
        <f>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86"/>
        <v/>
      </c>
      <c r="T1312" s="174" t="str">
        <f ca="1">IF(B1312="","",IF(ISERROR(MATCH($J1312,SorP!$B$1:$B$6279,0)),"",INDIRECT("'SorP'!$A$"&amp;MATCH($S1312&amp;$J1312,SorP!C:C,0))))</f>
        <v/>
      </c>
      <c r="U1312" s="194"/>
      <c r="V1312" s="218" t="e">
        <f>IF(C1312="",NA(),IF(OR(C1312="Smelter not listed",C1312="Smelter not yet identified"),MATCH($B1312&amp;$D1312,'Smelter Look-up'!$J:$J,0),MATCH($B1312&amp;$C1312,'Smelter Look-up'!$J:$J,0)))</f>
        <v>#N/A</v>
      </c>
      <c r="X1312" s="219">
        <f t="shared" ca="1" si="187"/>
        <v>0</v>
      </c>
      <c r="AB1312" s="220" t="str">
        <f t="shared" si="188"/>
        <v/>
      </c>
    </row>
    <row r="1313" spans="1:28" s="219" customFormat="1" ht="20.25">
      <c r="A1313" s="174"/>
      <c r="B1313" s="175" t="str">
        <f>IF(LEN(A1313)=0,"",INDEX('Smelter Look-up'!$A:$A,MATCH($A1313,'Smelter Look-up'!$E:$E,0)))</f>
        <v/>
      </c>
      <c r="C1313" s="179" t="str">
        <f>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86"/>
        <v/>
      </c>
      <c r="T1313" s="174" t="str">
        <f ca="1">IF(B1313="","",IF(ISERROR(MATCH($J1313,SorP!$B$1:$B$6279,0)),"",INDIRECT("'SorP'!$A$"&amp;MATCH($S1313&amp;$J1313,SorP!C:C,0))))</f>
        <v/>
      </c>
      <c r="U1313" s="194"/>
      <c r="V1313" s="218" t="e">
        <f>IF(C1313="",NA(),IF(OR(C1313="Smelter not listed",C1313="Smelter not yet identified"),MATCH($B1313&amp;$D1313,'Smelter Look-up'!$J:$J,0),MATCH($B1313&amp;$C1313,'Smelter Look-up'!$J:$J,0)))</f>
        <v>#N/A</v>
      </c>
      <c r="X1313" s="219">
        <f t="shared" ca="1" si="187"/>
        <v>0</v>
      </c>
      <c r="AB1313" s="220" t="str">
        <f t="shared" si="188"/>
        <v/>
      </c>
    </row>
    <row r="1314" spans="1:28" s="219" customFormat="1" ht="20.25">
      <c r="A1314" s="174"/>
      <c r="B1314" s="175" t="str">
        <f>IF(LEN(A1314)=0,"",INDEX('Smelter Look-up'!$A:$A,MATCH($A1314,'Smelter Look-up'!$E:$E,0)))</f>
        <v/>
      </c>
      <c r="C1314" s="179" t="str">
        <f>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86"/>
        <v/>
      </c>
      <c r="T1314" s="174" t="str">
        <f ca="1">IF(B1314="","",IF(ISERROR(MATCH($J1314,SorP!$B$1:$B$6279,0)),"",INDIRECT("'SorP'!$A$"&amp;MATCH($S1314&amp;$J1314,SorP!C:C,0))))</f>
        <v/>
      </c>
      <c r="U1314" s="194"/>
      <c r="V1314" s="218" t="e">
        <f>IF(C1314="",NA(),IF(OR(C1314="Smelter not listed",C1314="Smelter not yet identified"),MATCH($B1314&amp;$D1314,'Smelter Look-up'!$J:$J,0),MATCH($B1314&amp;$C1314,'Smelter Look-up'!$J:$J,0)))</f>
        <v>#N/A</v>
      </c>
      <c r="X1314" s="219">
        <f t="shared" ca="1" si="187"/>
        <v>0</v>
      </c>
      <c r="AB1314" s="220" t="str">
        <f t="shared" si="188"/>
        <v/>
      </c>
    </row>
    <row r="1315" spans="1:28" s="219" customFormat="1" ht="20.25">
      <c r="A1315" s="174"/>
      <c r="B1315" s="175" t="str">
        <f>IF(LEN(A1315)=0,"",INDEX('Smelter Look-up'!$A:$A,MATCH($A1315,'Smelter Look-up'!$E:$E,0)))</f>
        <v/>
      </c>
      <c r="C1315" s="179" t="str">
        <f>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86"/>
        <v/>
      </c>
      <c r="T1315" s="174" t="str">
        <f ca="1">IF(B1315="","",IF(ISERROR(MATCH($J1315,SorP!$B$1:$B$6279,0)),"",INDIRECT("'SorP'!$A$"&amp;MATCH($S1315&amp;$J1315,SorP!C:C,0))))</f>
        <v/>
      </c>
      <c r="U1315" s="194"/>
      <c r="V1315" s="218" t="e">
        <f>IF(C1315="",NA(),IF(OR(C1315="Smelter not listed",C1315="Smelter not yet identified"),MATCH($B1315&amp;$D1315,'Smelter Look-up'!$J:$J,0),MATCH($B1315&amp;$C1315,'Smelter Look-up'!$J:$J,0)))</f>
        <v>#N/A</v>
      </c>
      <c r="X1315" s="219">
        <f t="shared" ca="1" si="187"/>
        <v>0</v>
      </c>
      <c r="AB1315" s="220" t="str">
        <f t="shared" si="188"/>
        <v/>
      </c>
    </row>
    <row r="1316" spans="1:28" s="219" customFormat="1" ht="20.25">
      <c r="A1316" s="174"/>
      <c r="B1316" s="175" t="str">
        <f>IF(LEN(A1316)=0,"",INDEX('Smelter Look-up'!$A:$A,MATCH($A1316,'Smelter Look-up'!$E:$E,0)))</f>
        <v/>
      </c>
      <c r="C1316" s="179" t="str">
        <f>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86"/>
        <v/>
      </c>
      <c r="T1316" s="174" t="str">
        <f ca="1">IF(B1316="","",IF(ISERROR(MATCH($J1316,SorP!$B$1:$B$6279,0)),"",INDIRECT("'SorP'!$A$"&amp;MATCH($S1316&amp;$J1316,SorP!C:C,0))))</f>
        <v/>
      </c>
      <c r="U1316" s="194"/>
      <c r="V1316" s="218" t="e">
        <f>IF(C1316="",NA(),IF(OR(C1316="Smelter not listed",C1316="Smelter not yet identified"),MATCH($B1316&amp;$D1316,'Smelter Look-up'!$J:$J,0),MATCH($B1316&amp;$C1316,'Smelter Look-up'!$J:$J,0)))</f>
        <v>#N/A</v>
      </c>
      <c r="X1316" s="219">
        <f t="shared" ca="1" si="187"/>
        <v>0</v>
      </c>
      <c r="AB1316" s="220" t="str">
        <f t="shared" si="188"/>
        <v/>
      </c>
    </row>
    <row r="1317" spans="1:28" s="219" customFormat="1" ht="20.25">
      <c r="A1317" s="174"/>
      <c r="B1317" s="175" t="str">
        <f>IF(LEN(A1317)=0,"",INDEX('Smelter Look-up'!$A:$A,MATCH($A1317,'Smelter Look-up'!$E:$E,0)))</f>
        <v/>
      </c>
      <c r="C1317" s="179" t="str">
        <f>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86"/>
        <v/>
      </c>
      <c r="T1317" s="174" t="str">
        <f ca="1">IF(B1317="","",IF(ISERROR(MATCH($J1317,SorP!$B$1:$B$6279,0)),"",INDIRECT("'SorP'!$A$"&amp;MATCH($S1317&amp;$J1317,SorP!C:C,0))))</f>
        <v/>
      </c>
      <c r="U1317" s="194"/>
      <c r="V1317" s="218" t="e">
        <f>IF(C1317="",NA(),IF(OR(C1317="Smelter not listed",C1317="Smelter not yet identified"),MATCH($B1317&amp;$D1317,'Smelter Look-up'!$J:$J,0),MATCH($B1317&amp;$C1317,'Smelter Look-up'!$J:$J,0)))</f>
        <v>#N/A</v>
      </c>
      <c r="X1317" s="219">
        <f t="shared" ca="1" si="187"/>
        <v>0</v>
      </c>
      <c r="AB1317" s="220" t="str">
        <f t="shared" si="188"/>
        <v/>
      </c>
    </row>
    <row r="1318" spans="1:28" s="219" customFormat="1" ht="20.25">
      <c r="A1318" s="174"/>
      <c r="B1318" s="175" t="str">
        <f>IF(LEN(A1318)=0,"",INDEX('Smelter Look-up'!$A:$A,MATCH($A1318,'Smelter Look-up'!$E:$E,0)))</f>
        <v/>
      </c>
      <c r="C1318" s="179" t="str">
        <f>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86"/>
        <v/>
      </c>
      <c r="T1318" s="174" t="str">
        <f ca="1">IF(B1318="","",IF(ISERROR(MATCH($J1318,SorP!$B$1:$B$6279,0)),"",INDIRECT("'SorP'!$A$"&amp;MATCH($S1318&amp;$J1318,SorP!C:C,0))))</f>
        <v/>
      </c>
      <c r="U1318" s="194"/>
      <c r="V1318" s="218" t="e">
        <f>IF(C1318="",NA(),IF(OR(C1318="Smelter not listed",C1318="Smelter not yet identified"),MATCH($B1318&amp;$D1318,'Smelter Look-up'!$J:$J,0),MATCH($B1318&amp;$C1318,'Smelter Look-up'!$J:$J,0)))</f>
        <v>#N/A</v>
      </c>
      <c r="X1318" s="219">
        <f t="shared" ca="1" si="187"/>
        <v>0</v>
      </c>
      <c r="AB1318" s="220" t="str">
        <f t="shared" si="188"/>
        <v/>
      </c>
    </row>
    <row r="1319" spans="1:28" s="219" customFormat="1" ht="20.25">
      <c r="A1319" s="174"/>
      <c r="B1319" s="175" t="str">
        <f>IF(LEN(A1319)=0,"",INDEX('Smelter Look-up'!$A:$A,MATCH($A1319,'Smelter Look-up'!$E:$E,0)))</f>
        <v/>
      </c>
      <c r="C1319" s="179" t="str">
        <f>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86"/>
        <v/>
      </c>
      <c r="T1319" s="174" t="str">
        <f ca="1">IF(B1319="","",IF(ISERROR(MATCH($J1319,SorP!$B$1:$B$6279,0)),"",INDIRECT("'SorP'!$A$"&amp;MATCH($S1319&amp;$J1319,SorP!C:C,0))))</f>
        <v/>
      </c>
      <c r="U1319" s="194"/>
      <c r="V1319" s="218" t="e">
        <f>IF(C1319="",NA(),IF(OR(C1319="Smelter not listed",C1319="Smelter not yet identified"),MATCH($B1319&amp;$D1319,'Smelter Look-up'!$J:$J,0),MATCH($B1319&amp;$C1319,'Smelter Look-up'!$J:$J,0)))</f>
        <v>#N/A</v>
      </c>
      <c r="X1319" s="219">
        <f t="shared" ca="1" si="187"/>
        <v>0</v>
      </c>
      <c r="AB1319" s="220" t="str">
        <f t="shared" si="188"/>
        <v/>
      </c>
    </row>
    <row r="1320" spans="1:28" s="219" customFormat="1" ht="20.25">
      <c r="A1320" s="174"/>
      <c r="B1320" s="175" t="str">
        <f>IF(LEN(A1320)=0,"",INDEX('Smelter Look-up'!$A:$A,MATCH($A1320,'Smelter Look-up'!$E:$E,0)))</f>
        <v/>
      </c>
      <c r="C1320" s="179" t="str">
        <f>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86"/>
        <v/>
      </c>
      <c r="T1320" s="174" t="str">
        <f ca="1">IF(B1320="","",IF(ISERROR(MATCH($J1320,SorP!$B$1:$B$6279,0)),"",INDIRECT("'SorP'!$A$"&amp;MATCH($S1320&amp;$J1320,SorP!C:C,0))))</f>
        <v/>
      </c>
      <c r="U1320" s="194"/>
      <c r="V1320" s="218" t="e">
        <f>IF(C1320="",NA(),IF(OR(C1320="Smelter not listed",C1320="Smelter not yet identified"),MATCH($B1320&amp;$D1320,'Smelter Look-up'!$J:$J,0),MATCH($B1320&amp;$C1320,'Smelter Look-up'!$J:$J,0)))</f>
        <v>#N/A</v>
      </c>
      <c r="X1320" s="219">
        <f t="shared" ca="1" si="187"/>
        <v>0</v>
      </c>
      <c r="AB1320" s="220" t="str">
        <f t="shared" si="188"/>
        <v/>
      </c>
    </row>
    <row r="1321" spans="1:28" s="219" customFormat="1" ht="20.25">
      <c r="A1321" s="174"/>
      <c r="B1321" s="175" t="str">
        <f>IF(LEN(A1321)=0,"",INDEX('Smelter Look-up'!$A:$A,MATCH($A1321,'Smelter Look-up'!$E:$E,0)))</f>
        <v/>
      </c>
      <c r="C1321" s="179" t="str">
        <f>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86"/>
        <v/>
      </c>
      <c r="T1321" s="174" t="str">
        <f ca="1">IF(B1321="","",IF(ISERROR(MATCH($J1321,SorP!$B$1:$B$6279,0)),"",INDIRECT("'SorP'!$A$"&amp;MATCH($S1321&amp;$J1321,SorP!C:C,0))))</f>
        <v/>
      </c>
      <c r="U1321" s="194"/>
      <c r="V1321" s="218" t="e">
        <f>IF(C1321="",NA(),IF(OR(C1321="Smelter not listed",C1321="Smelter not yet identified"),MATCH($B1321&amp;$D1321,'Smelter Look-up'!$J:$J,0),MATCH($B1321&amp;$C1321,'Smelter Look-up'!$J:$J,0)))</f>
        <v>#N/A</v>
      </c>
      <c r="X1321" s="219">
        <f t="shared" ca="1" si="187"/>
        <v>0</v>
      </c>
      <c r="AB1321" s="220" t="str">
        <f t="shared" si="188"/>
        <v/>
      </c>
    </row>
    <row r="1322" spans="1:28" s="219" customFormat="1" ht="20.25">
      <c r="A1322" s="174"/>
      <c r="B1322" s="175" t="str">
        <f>IF(LEN(A1322)=0,"",INDEX('Smelter Look-up'!$A:$A,MATCH($A1322,'Smelter Look-up'!$E:$E,0)))</f>
        <v/>
      </c>
      <c r="C1322" s="179" t="str">
        <f>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86"/>
        <v/>
      </c>
      <c r="T1322" s="174" t="str">
        <f ca="1">IF(B1322="","",IF(ISERROR(MATCH($J1322,SorP!$B$1:$B$6279,0)),"",INDIRECT("'SorP'!$A$"&amp;MATCH($S1322&amp;$J1322,SorP!C:C,0))))</f>
        <v/>
      </c>
      <c r="U1322" s="194"/>
      <c r="V1322" s="218" t="e">
        <f>IF(C1322="",NA(),IF(OR(C1322="Smelter not listed",C1322="Smelter not yet identified"),MATCH($B1322&amp;$D1322,'Smelter Look-up'!$J:$J,0),MATCH($B1322&amp;$C1322,'Smelter Look-up'!$J:$J,0)))</f>
        <v>#N/A</v>
      </c>
      <c r="X1322" s="219">
        <f t="shared" ca="1" si="187"/>
        <v>0</v>
      </c>
      <c r="AB1322" s="220" t="str">
        <f t="shared" si="188"/>
        <v/>
      </c>
    </row>
    <row r="1323" spans="1:28" s="219" customFormat="1" ht="20.25">
      <c r="A1323" s="174"/>
      <c r="B1323" s="175" t="str">
        <f>IF(LEN(A1323)=0,"",INDEX('Smelter Look-up'!$A:$A,MATCH($A1323,'Smelter Look-up'!$E:$E,0)))</f>
        <v/>
      </c>
      <c r="C1323" s="179" t="str">
        <f>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86"/>
        <v/>
      </c>
      <c r="T1323" s="174" t="str">
        <f ca="1">IF(B1323="","",IF(ISERROR(MATCH($J1323,SorP!$B$1:$B$6279,0)),"",INDIRECT("'SorP'!$A$"&amp;MATCH($S1323&amp;$J1323,SorP!C:C,0))))</f>
        <v/>
      </c>
      <c r="U1323" s="194"/>
      <c r="V1323" s="218" t="e">
        <f>IF(C1323="",NA(),IF(OR(C1323="Smelter not listed",C1323="Smelter not yet identified"),MATCH($B1323&amp;$D1323,'Smelter Look-up'!$J:$J,0),MATCH($B1323&amp;$C1323,'Smelter Look-up'!$J:$J,0)))</f>
        <v>#N/A</v>
      </c>
      <c r="X1323" s="219">
        <f t="shared" ca="1" si="187"/>
        <v>0</v>
      </c>
      <c r="AB1323" s="220" t="str">
        <f t="shared" si="188"/>
        <v/>
      </c>
    </row>
    <row r="1324" spans="1:28" s="219" customFormat="1" ht="20.25">
      <c r="A1324" s="174"/>
      <c r="B1324" s="175" t="str">
        <f>IF(LEN(A1324)=0,"",INDEX('Smelter Look-up'!$A:$A,MATCH($A1324,'Smelter Look-up'!$E:$E,0)))</f>
        <v/>
      </c>
      <c r="C1324" s="179" t="str">
        <f>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86"/>
        <v/>
      </c>
      <c r="T1324" s="174" t="str">
        <f ca="1">IF(B1324="","",IF(ISERROR(MATCH($J1324,SorP!$B$1:$B$6279,0)),"",INDIRECT("'SorP'!$A$"&amp;MATCH($S1324&amp;$J1324,SorP!C:C,0))))</f>
        <v/>
      </c>
      <c r="U1324" s="194"/>
      <c r="V1324" s="218" t="e">
        <f>IF(C1324="",NA(),IF(OR(C1324="Smelter not listed",C1324="Smelter not yet identified"),MATCH($B1324&amp;$D1324,'Smelter Look-up'!$J:$J,0),MATCH($B1324&amp;$C1324,'Smelter Look-up'!$J:$J,0)))</f>
        <v>#N/A</v>
      </c>
      <c r="X1324" s="219">
        <f t="shared" ca="1" si="187"/>
        <v>0</v>
      </c>
      <c r="AB1324" s="220" t="str">
        <f t="shared" si="188"/>
        <v/>
      </c>
    </row>
    <row r="1325" spans="1:28" s="219" customFormat="1" ht="20.25">
      <c r="A1325" s="174"/>
      <c r="B1325" s="175" t="str">
        <f>IF(LEN(A1325)=0,"",INDEX('Smelter Look-up'!$A:$A,MATCH($A1325,'Smelter Look-up'!$E:$E,0)))</f>
        <v/>
      </c>
      <c r="C1325" s="179" t="str">
        <f>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86"/>
        <v/>
      </c>
      <c r="T1325" s="174" t="str">
        <f ca="1">IF(B1325="","",IF(ISERROR(MATCH($J1325,SorP!$B$1:$B$6279,0)),"",INDIRECT("'SorP'!$A$"&amp;MATCH($S1325&amp;$J1325,SorP!C:C,0))))</f>
        <v/>
      </c>
      <c r="U1325" s="194"/>
      <c r="V1325" s="218" t="e">
        <f>IF(C1325="",NA(),IF(OR(C1325="Smelter not listed",C1325="Smelter not yet identified"),MATCH($B1325&amp;$D1325,'Smelter Look-up'!$J:$J,0),MATCH($B1325&amp;$C1325,'Smelter Look-up'!$J:$J,0)))</f>
        <v>#N/A</v>
      </c>
      <c r="X1325" s="219">
        <f t="shared" ca="1" si="187"/>
        <v>0</v>
      </c>
      <c r="AB1325" s="220" t="str">
        <f t="shared" si="188"/>
        <v/>
      </c>
    </row>
    <row r="1326" spans="1:28" s="219" customFormat="1" ht="20.25">
      <c r="A1326" s="174"/>
      <c r="B1326" s="175" t="str">
        <f>IF(LEN(A1326)=0,"",INDEX('Smelter Look-up'!$A:$A,MATCH($A1326,'Smelter Look-up'!$E:$E,0)))</f>
        <v/>
      </c>
      <c r="C1326" s="179" t="str">
        <f>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86"/>
        <v/>
      </c>
      <c r="T1326" s="174" t="str">
        <f ca="1">IF(B1326="","",IF(ISERROR(MATCH($J1326,SorP!$B$1:$B$6279,0)),"",INDIRECT("'SorP'!$A$"&amp;MATCH($S1326&amp;$J1326,SorP!C:C,0))))</f>
        <v/>
      </c>
      <c r="U1326" s="194"/>
      <c r="V1326" s="218" t="e">
        <f>IF(C1326="",NA(),IF(OR(C1326="Smelter not listed",C1326="Smelter not yet identified"),MATCH($B1326&amp;$D1326,'Smelter Look-up'!$J:$J,0),MATCH($B1326&amp;$C1326,'Smelter Look-up'!$J:$J,0)))</f>
        <v>#N/A</v>
      </c>
      <c r="X1326" s="219">
        <f t="shared" ca="1" si="187"/>
        <v>0</v>
      </c>
      <c r="AB1326" s="220" t="str">
        <f t="shared" si="188"/>
        <v/>
      </c>
    </row>
    <row r="1327" spans="1:28" s="219" customFormat="1" ht="20.25">
      <c r="A1327" s="174"/>
      <c r="B1327" s="175" t="str">
        <f>IF(LEN(A1327)=0,"",INDEX('Smelter Look-up'!$A:$A,MATCH($A1327,'Smelter Look-up'!$E:$E,0)))</f>
        <v/>
      </c>
      <c r="C1327" s="179" t="str">
        <f>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86"/>
        <v/>
      </c>
      <c r="T1327" s="174" t="str">
        <f ca="1">IF(B1327="","",IF(ISERROR(MATCH($J1327,SorP!$B$1:$B$6279,0)),"",INDIRECT("'SorP'!$A$"&amp;MATCH($S1327&amp;$J1327,SorP!C:C,0))))</f>
        <v/>
      </c>
      <c r="U1327" s="194"/>
      <c r="V1327" s="218" t="e">
        <f>IF(C1327="",NA(),IF(OR(C1327="Smelter not listed",C1327="Smelter not yet identified"),MATCH($B1327&amp;$D1327,'Smelter Look-up'!$J:$J,0),MATCH($B1327&amp;$C1327,'Smelter Look-up'!$J:$J,0)))</f>
        <v>#N/A</v>
      </c>
      <c r="X1327" s="219">
        <f t="shared" ca="1" si="187"/>
        <v>0</v>
      </c>
      <c r="AB1327" s="220" t="str">
        <f t="shared" si="188"/>
        <v/>
      </c>
    </row>
    <row r="1328" spans="1:28" s="219" customFormat="1" ht="20.25">
      <c r="A1328" s="174"/>
      <c r="B1328" s="175" t="str">
        <f>IF(LEN(A1328)=0,"",INDEX('Smelter Look-up'!$A:$A,MATCH($A1328,'Smelter Look-up'!$E:$E,0)))</f>
        <v/>
      </c>
      <c r="C1328" s="179" t="str">
        <f>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86"/>
        <v/>
      </c>
      <c r="T1328" s="174" t="str">
        <f ca="1">IF(B1328="","",IF(ISERROR(MATCH($J1328,SorP!$B$1:$B$6279,0)),"",INDIRECT("'SorP'!$A$"&amp;MATCH($S1328&amp;$J1328,SorP!C:C,0))))</f>
        <v/>
      </c>
      <c r="U1328" s="194"/>
      <c r="V1328" s="218" t="e">
        <f>IF(C1328="",NA(),IF(OR(C1328="Smelter not listed",C1328="Smelter not yet identified"),MATCH($B1328&amp;$D1328,'Smelter Look-up'!$J:$J,0),MATCH($B1328&amp;$C1328,'Smelter Look-up'!$J:$J,0)))</f>
        <v>#N/A</v>
      </c>
      <c r="X1328" s="219">
        <f t="shared" ca="1" si="187"/>
        <v>0</v>
      </c>
      <c r="AB1328" s="220" t="str">
        <f t="shared" si="188"/>
        <v/>
      </c>
    </row>
    <row r="1329" spans="1:28" s="219" customFormat="1" ht="20.25">
      <c r="A1329" s="174"/>
      <c r="B1329" s="175" t="str">
        <f>IF(LEN(A1329)=0,"",INDEX('Smelter Look-up'!$A:$A,MATCH($A1329,'Smelter Look-up'!$E:$E,0)))</f>
        <v/>
      </c>
      <c r="C1329" s="179" t="str">
        <f>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86"/>
        <v/>
      </c>
      <c r="T1329" s="174" t="str">
        <f ca="1">IF(B1329="","",IF(ISERROR(MATCH($J1329,SorP!$B$1:$B$6279,0)),"",INDIRECT("'SorP'!$A$"&amp;MATCH($S1329&amp;$J1329,SorP!C:C,0))))</f>
        <v/>
      </c>
      <c r="U1329" s="194"/>
      <c r="V1329" s="218" t="e">
        <f>IF(C1329="",NA(),IF(OR(C1329="Smelter not listed",C1329="Smelter not yet identified"),MATCH($B1329&amp;$D1329,'Smelter Look-up'!$J:$J,0),MATCH($B1329&amp;$C1329,'Smelter Look-up'!$J:$J,0)))</f>
        <v>#N/A</v>
      </c>
      <c r="X1329" s="219">
        <f t="shared" ca="1" si="187"/>
        <v>0</v>
      </c>
      <c r="AB1329" s="220" t="str">
        <f t="shared" si="188"/>
        <v/>
      </c>
    </row>
    <row r="1330" spans="1:28" s="219" customFormat="1" ht="20.25">
      <c r="A1330" s="174"/>
      <c r="B1330" s="175" t="str">
        <f>IF(LEN(A1330)=0,"",INDEX('Smelter Look-up'!$A:$A,MATCH($A1330,'Smelter Look-up'!$E:$E,0)))</f>
        <v/>
      </c>
      <c r="C1330" s="179" t="str">
        <f>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86"/>
        <v/>
      </c>
      <c r="T1330" s="174" t="str">
        <f ca="1">IF(B1330="","",IF(ISERROR(MATCH($J1330,SorP!$B$1:$B$6279,0)),"",INDIRECT("'SorP'!$A$"&amp;MATCH($S1330&amp;$J1330,SorP!C:C,0))))</f>
        <v/>
      </c>
      <c r="U1330" s="194"/>
      <c r="V1330" s="218" t="e">
        <f>IF(C1330="",NA(),IF(OR(C1330="Smelter not listed",C1330="Smelter not yet identified"),MATCH($B1330&amp;$D1330,'Smelter Look-up'!$J:$J,0),MATCH($B1330&amp;$C1330,'Smelter Look-up'!$J:$J,0)))</f>
        <v>#N/A</v>
      </c>
      <c r="X1330" s="219">
        <f t="shared" ca="1" si="187"/>
        <v>0</v>
      </c>
      <c r="AB1330" s="220" t="str">
        <f t="shared" si="188"/>
        <v/>
      </c>
    </row>
    <row r="1331" spans="1:28" s="219" customFormat="1" ht="20.25">
      <c r="A1331" s="174"/>
      <c r="B1331" s="175" t="str">
        <f>IF(LEN(A1331)=0,"",INDEX('Smelter Look-up'!$A:$A,MATCH($A1331,'Smelter Look-up'!$E:$E,0)))</f>
        <v/>
      </c>
      <c r="C1331" s="179" t="str">
        <f>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86"/>
        <v/>
      </c>
      <c r="T1331" s="174" t="str">
        <f ca="1">IF(B1331="","",IF(ISERROR(MATCH($J1331,SorP!$B$1:$B$6279,0)),"",INDIRECT("'SorP'!$A$"&amp;MATCH($S1331&amp;$J1331,SorP!C:C,0))))</f>
        <v/>
      </c>
      <c r="U1331" s="194"/>
      <c r="V1331" s="218" t="e">
        <f>IF(C1331="",NA(),IF(OR(C1331="Smelter not listed",C1331="Smelter not yet identified"),MATCH($B1331&amp;$D1331,'Smelter Look-up'!$J:$J,0),MATCH($B1331&amp;$C1331,'Smelter Look-up'!$J:$J,0)))</f>
        <v>#N/A</v>
      </c>
      <c r="X1331" s="219">
        <f t="shared" ca="1" si="187"/>
        <v>0</v>
      </c>
      <c r="AB1331" s="220" t="str">
        <f t="shared" si="188"/>
        <v/>
      </c>
    </row>
    <row r="1332" spans="1:28" s="219" customFormat="1" ht="20.25">
      <c r="A1332" s="174"/>
      <c r="B1332" s="175" t="str">
        <f>IF(LEN(A1332)=0,"",INDEX('Smelter Look-up'!$A:$A,MATCH($A1332,'Smelter Look-up'!$E:$E,0)))</f>
        <v/>
      </c>
      <c r="C1332" s="179" t="str">
        <f>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86"/>
        <v/>
      </c>
      <c r="T1332" s="174" t="str">
        <f ca="1">IF(B1332="","",IF(ISERROR(MATCH($J1332,SorP!$B$1:$B$6279,0)),"",INDIRECT("'SorP'!$A$"&amp;MATCH($S1332&amp;$J1332,SorP!C:C,0))))</f>
        <v/>
      </c>
      <c r="U1332" s="194"/>
      <c r="V1332" s="218" t="e">
        <f>IF(C1332="",NA(),IF(OR(C1332="Smelter not listed",C1332="Smelter not yet identified"),MATCH($B1332&amp;$D1332,'Smelter Look-up'!$J:$J,0),MATCH($B1332&amp;$C1332,'Smelter Look-up'!$J:$J,0)))</f>
        <v>#N/A</v>
      </c>
      <c r="X1332" s="219">
        <f t="shared" ca="1" si="187"/>
        <v>0</v>
      </c>
      <c r="AB1332" s="220" t="str">
        <f t="shared" si="188"/>
        <v/>
      </c>
    </row>
    <row r="1333" spans="1:28" s="219" customFormat="1" ht="20.25">
      <c r="A1333" s="174"/>
      <c r="B1333" s="175" t="str">
        <f>IF(LEN(A1333)=0,"",INDEX('Smelter Look-up'!$A:$A,MATCH($A1333,'Smelter Look-up'!$E:$E,0)))</f>
        <v/>
      </c>
      <c r="C1333" s="179" t="str">
        <f>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86"/>
        <v/>
      </c>
      <c r="T1333" s="174" t="str">
        <f ca="1">IF(B1333="","",IF(ISERROR(MATCH($J1333,SorP!$B$1:$B$6279,0)),"",INDIRECT("'SorP'!$A$"&amp;MATCH($S1333&amp;$J1333,SorP!C:C,0))))</f>
        <v/>
      </c>
      <c r="U1333" s="194"/>
      <c r="V1333" s="218" t="e">
        <f>IF(C1333="",NA(),IF(OR(C1333="Smelter not listed",C1333="Smelter not yet identified"),MATCH($B1333&amp;$D1333,'Smelter Look-up'!$J:$J,0),MATCH($B1333&amp;$C1333,'Smelter Look-up'!$J:$J,0)))</f>
        <v>#N/A</v>
      </c>
      <c r="X1333" s="219">
        <f t="shared" ca="1" si="187"/>
        <v>0</v>
      </c>
      <c r="AB1333" s="220" t="str">
        <f t="shared" si="188"/>
        <v/>
      </c>
    </row>
    <row r="1334" spans="1:28" s="219" customFormat="1" ht="20.25">
      <c r="A1334" s="174"/>
      <c r="B1334" s="175" t="str">
        <f>IF(LEN(A1334)=0,"",INDEX('Smelter Look-up'!$A:$A,MATCH($A1334,'Smelter Look-up'!$E:$E,0)))</f>
        <v/>
      </c>
      <c r="C1334" s="179" t="str">
        <f>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86"/>
        <v/>
      </c>
      <c r="T1334" s="174" t="str">
        <f ca="1">IF(B1334="","",IF(ISERROR(MATCH($J1334,SorP!$B$1:$B$6279,0)),"",INDIRECT("'SorP'!$A$"&amp;MATCH($S1334&amp;$J1334,SorP!C:C,0))))</f>
        <v/>
      </c>
      <c r="U1334" s="194"/>
      <c r="V1334" s="218" t="e">
        <f>IF(C1334="",NA(),IF(OR(C1334="Smelter not listed",C1334="Smelter not yet identified"),MATCH($B1334&amp;$D1334,'Smelter Look-up'!$J:$J,0),MATCH($B1334&amp;$C1334,'Smelter Look-up'!$J:$J,0)))</f>
        <v>#N/A</v>
      </c>
      <c r="X1334" s="219">
        <f t="shared" ca="1" si="187"/>
        <v>0</v>
      </c>
      <c r="AB1334" s="220" t="str">
        <f t="shared" si="188"/>
        <v/>
      </c>
    </row>
    <row r="1335" spans="1:28" s="219" customFormat="1" ht="20.25">
      <c r="A1335" s="174"/>
      <c r="B1335" s="175" t="str">
        <f>IF(LEN(A1335)=0,"",INDEX('Smelter Look-up'!$A:$A,MATCH($A1335,'Smelter Look-up'!$E:$E,0)))</f>
        <v/>
      </c>
      <c r="C1335" s="179" t="str">
        <f>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86"/>
        <v/>
      </c>
      <c r="T1335" s="174" t="str">
        <f ca="1">IF(B1335="","",IF(ISERROR(MATCH($J1335,SorP!$B$1:$B$6279,0)),"",INDIRECT("'SorP'!$A$"&amp;MATCH($S1335&amp;$J1335,SorP!C:C,0))))</f>
        <v/>
      </c>
      <c r="U1335" s="194"/>
      <c r="V1335" s="218" t="e">
        <f>IF(C1335="",NA(),IF(OR(C1335="Smelter not listed",C1335="Smelter not yet identified"),MATCH($B1335&amp;$D1335,'Smelter Look-up'!$J:$J,0),MATCH($B1335&amp;$C1335,'Smelter Look-up'!$J:$J,0)))</f>
        <v>#N/A</v>
      </c>
      <c r="X1335" s="219">
        <f t="shared" ca="1" si="187"/>
        <v>0</v>
      </c>
      <c r="AB1335" s="220" t="str">
        <f t="shared" si="188"/>
        <v/>
      </c>
    </row>
    <row r="1336" spans="1:28" s="219" customFormat="1" ht="20.25">
      <c r="A1336" s="174"/>
      <c r="B1336" s="175" t="str">
        <f>IF(LEN(A1336)=0,"",INDEX('Smelter Look-up'!$A:$A,MATCH($A1336,'Smelter Look-up'!$E:$E,0)))</f>
        <v/>
      </c>
      <c r="C1336" s="179" t="str">
        <f>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86"/>
        <v/>
      </c>
      <c r="T1336" s="174" t="str">
        <f ca="1">IF(B1336="","",IF(ISERROR(MATCH($J1336,SorP!$B$1:$B$6279,0)),"",INDIRECT("'SorP'!$A$"&amp;MATCH($S1336&amp;$J1336,SorP!C:C,0))))</f>
        <v/>
      </c>
      <c r="U1336" s="194"/>
      <c r="V1336" s="218" t="e">
        <f>IF(C1336="",NA(),IF(OR(C1336="Smelter not listed",C1336="Smelter not yet identified"),MATCH($B1336&amp;$D1336,'Smelter Look-up'!$J:$J,0),MATCH($B1336&amp;$C1336,'Smelter Look-up'!$J:$J,0)))</f>
        <v>#N/A</v>
      </c>
      <c r="X1336" s="219">
        <f t="shared" ca="1" si="187"/>
        <v>0</v>
      </c>
      <c r="AB1336" s="220" t="str">
        <f t="shared" si="188"/>
        <v/>
      </c>
    </row>
    <row r="1337" spans="1:28" s="219" customFormat="1" ht="20.25">
      <c r="A1337" s="174"/>
      <c r="B1337" s="175" t="str">
        <f>IF(LEN(A1337)=0,"",INDEX('Smelter Look-up'!$A:$A,MATCH($A1337,'Smelter Look-up'!$E:$E,0)))</f>
        <v/>
      </c>
      <c r="C1337" s="179" t="str">
        <f>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186"/>
        <v/>
      </c>
      <c r="T1337" s="174" t="str">
        <f ca="1">IF(B1337="","",IF(ISERROR(MATCH($J1337,SorP!$B$1:$B$6279,0)),"",INDIRECT("'SorP'!$A$"&amp;MATCH($S1337&amp;$J1337,SorP!C:C,0))))</f>
        <v/>
      </c>
      <c r="U1337" s="194"/>
      <c r="V1337" s="218" t="e">
        <f>IF(C1337="",NA(),IF(OR(C1337="Smelter not listed",C1337="Smelter not yet identified"),MATCH($B1337&amp;$D1337,'Smelter Look-up'!$J:$J,0),MATCH($B1337&amp;$C1337,'Smelter Look-up'!$J:$J,0)))</f>
        <v>#N/A</v>
      </c>
      <c r="X1337" s="219">
        <f t="shared" ca="1" si="187"/>
        <v>0</v>
      </c>
      <c r="AB1337" s="220" t="str">
        <f t="shared" si="188"/>
        <v/>
      </c>
    </row>
    <row r="1338" spans="1:28" s="219" customFormat="1" ht="20.25">
      <c r="A1338" s="174"/>
      <c r="B1338" s="175" t="str">
        <f>IF(LEN(A1338)=0,"",INDEX('Smelter Look-up'!$A:$A,MATCH($A1338,'Smelter Look-up'!$E:$E,0)))</f>
        <v/>
      </c>
      <c r="C1338" s="179" t="str">
        <f>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ca="1" si="186"/>
        <v/>
      </c>
      <c r="T1338" s="174" t="str">
        <f ca="1">IF(B1338="","",IF(ISERROR(MATCH($J1338,SorP!$B$1:$B$6279,0)),"",INDIRECT("'SorP'!$A$"&amp;MATCH($S1338&amp;$J1338,SorP!C:C,0))))</f>
        <v/>
      </c>
      <c r="U1338" s="194"/>
      <c r="V1338" s="218" t="e">
        <f>IF(C1338="",NA(),IF(OR(C1338="Smelter not listed",C1338="Smelter not yet identified"),MATCH($B1338&amp;$D1338,'Smelter Look-up'!$J:$J,0),MATCH($B1338&amp;$C1338,'Smelter Look-up'!$J:$J,0)))</f>
        <v>#N/A</v>
      </c>
      <c r="X1338" s="219">
        <f t="shared" ca="1" si="187"/>
        <v>0</v>
      </c>
      <c r="AB1338" s="220" t="str">
        <f t="shared" si="188"/>
        <v/>
      </c>
    </row>
    <row r="1339" spans="1:28" s="219" customFormat="1" ht="20.25">
      <c r="A1339" s="174"/>
      <c r="B1339" s="175" t="str">
        <f>IF(LEN(A1339)=0,"",INDEX('Smelter Look-up'!$A:$A,MATCH($A1339,'Smelter Look-up'!$E:$E,0)))</f>
        <v/>
      </c>
      <c r="C1339" s="179" t="str">
        <f>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ref="S1339" ca="1" si="189">IF(B1339="","",IF(ISERROR(MATCH($E1339,CL,0)),"Unknown",INDIRECT("'C'!$A$"&amp;MATCH($E1339,CL,0)+1)))</f>
        <v/>
      </c>
      <c r="T1339" s="174" t="str">
        <f ca="1">IF(B1339="","",IF(ISERROR(MATCH($J1339,SorP!$B$1:$B$6279,0)),"",INDIRECT("'SorP'!$A$"&amp;MATCH($S1339&amp;$J1339,SorP!C:C,0))))</f>
        <v/>
      </c>
      <c r="U1339" s="194"/>
      <c r="V1339" s="218" t="e">
        <f>IF(C1339="",NA(),IF(OR(C1339="Smelter not listed",C1339="Smelter not yet identified"),MATCH($B1339&amp;$D1339,'Smelter Look-up'!$J:$J,0),MATCH($B1339&amp;$C1339,'Smelter Look-up'!$J:$J,0)))</f>
        <v>#N/A</v>
      </c>
      <c r="X1339" s="219">
        <f t="shared" ref="X1339" ca="1" si="190">IF(AND(C1339="Smelter not listed",OR(LEN(D1339)=0,LEN(E1339)=0)),1,0)</f>
        <v>0</v>
      </c>
      <c r="AB1339" s="220" t="str">
        <f t="shared" ref="AB1339" si="191">B1339&amp;C1339</f>
        <v/>
      </c>
    </row>
    <row r="1340" spans="1:28" s="219" customFormat="1" ht="20.25">
      <c r="A1340" s="174"/>
      <c r="B1340" s="175" t="str">
        <f>IF(LEN(A1340)=0,"",INDEX('Smelter Look-up'!$A:$A,MATCH($A1340,'Smelter Look-up'!$E:$E,0)))</f>
        <v/>
      </c>
      <c r="C1340" s="179" t="str">
        <f>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ref="S1340:S1371" ca="1" si="192">IF(B1340="","",IF(ISERROR(MATCH($E1340,CL,0)),"Unknown",INDIRECT("'C'!$A$"&amp;MATCH($E1340,CL,0)+1)))</f>
        <v/>
      </c>
      <c r="T1340" s="174" t="str">
        <f ca="1">IF(B1340="","",IF(ISERROR(MATCH($J1340,SorP!$B$1:$B$6279,0)),"",INDIRECT("'SorP'!$A$"&amp;MATCH($S1340&amp;$J1340,SorP!C:C,0))))</f>
        <v/>
      </c>
      <c r="U1340" s="194"/>
      <c r="V1340" s="218" t="e">
        <f>IF(C1340="",NA(),IF(OR(C1340="Smelter not listed",C1340="Smelter not yet identified"),MATCH($B1340&amp;$D1340,'Smelter Look-up'!$J:$J,0),MATCH($B1340&amp;$C1340,'Smelter Look-up'!$J:$J,0)))</f>
        <v>#N/A</v>
      </c>
      <c r="X1340" s="219">
        <f t="shared" ref="X1340:X1371" ca="1" si="193">IF(AND(C1340="Smelter not listed",OR(LEN(D1340)=0,LEN(E1340)=0)),1,0)</f>
        <v>0</v>
      </c>
      <c r="AB1340" s="220" t="str">
        <f t="shared" ref="AB1340:AB1371" si="194">B1340&amp;C1340</f>
        <v/>
      </c>
    </row>
    <row r="1341" spans="1:28" s="219" customFormat="1" ht="20.25">
      <c r="A1341" s="174"/>
      <c r="B1341" s="175" t="str">
        <f>IF(LEN(A1341)=0,"",INDEX('Smelter Look-up'!$A:$A,MATCH($A1341,'Smelter Look-up'!$E:$E,0)))</f>
        <v/>
      </c>
      <c r="C1341" s="179" t="str">
        <f>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92"/>
        <v/>
      </c>
      <c r="T1341" s="174" t="str">
        <f ca="1">IF(B1341="","",IF(ISERROR(MATCH($J1341,SorP!$B$1:$B$6279,0)),"",INDIRECT("'SorP'!$A$"&amp;MATCH($S1341&amp;$J1341,SorP!C:C,0))))</f>
        <v/>
      </c>
      <c r="U1341" s="194"/>
      <c r="V1341" s="218" t="e">
        <f>IF(C1341="",NA(),IF(OR(C1341="Smelter not listed",C1341="Smelter not yet identified"),MATCH($B1341&amp;$D1341,'Smelter Look-up'!$J:$J,0),MATCH($B1341&amp;$C1341,'Smelter Look-up'!$J:$J,0)))</f>
        <v>#N/A</v>
      </c>
      <c r="X1341" s="219">
        <f t="shared" ca="1" si="193"/>
        <v>0</v>
      </c>
      <c r="AB1341" s="220" t="str">
        <f t="shared" si="194"/>
        <v/>
      </c>
    </row>
    <row r="1342" spans="1:28" s="219" customFormat="1" ht="20.25">
      <c r="A1342" s="174"/>
      <c r="B1342" s="175" t="str">
        <f>IF(LEN(A1342)=0,"",INDEX('Smelter Look-up'!$A:$A,MATCH($A1342,'Smelter Look-up'!$E:$E,0)))</f>
        <v/>
      </c>
      <c r="C1342" s="179" t="str">
        <f>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92"/>
        <v/>
      </c>
      <c r="T1342" s="174" t="str">
        <f ca="1">IF(B1342="","",IF(ISERROR(MATCH($J1342,SorP!$B$1:$B$6279,0)),"",INDIRECT("'SorP'!$A$"&amp;MATCH($S1342&amp;$J1342,SorP!C:C,0))))</f>
        <v/>
      </c>
      <c r="U1342" s="194"/>
      <c r="V1342" s="218" t="e">
        <f>IF(C1342="",NA(),IF(OR(C1342="Smelter not listed",C1342="Smelter not yet identified"),MATCH($B1342&amp;$D1342,'Smelter Look-up'!$J:$J,0),MATCH($B1342&amp;$C1342,'Smelter Look-up'!$J:$J,0)))</f>
        <v>#N/A</v>
      </c>
      <c r="X1342" s="219">
        <f t="shared" ca="1" si="193"/>
        <v>0</v>
      </c>
      <c r="AB1342" s="220" t="str">
        <f t="shared" si="194"/>
        <v/>
      </c>
    </row>
    <row r="1343" spans="1:28" s="219" customFormat="1" ht="20.25">
      <c r="A1343" s="174"/>
      <c r="B1343" s="175" t="str">
        <f>IF(LEN(A1343)=0,"",INDEX('Smelter Look-up'!$A:$A,MATCH($A1343,'Smelter Look-up'!$E:$E,0)))</f>
        <v/>
      </c>
      <c r="C1343" s="179" t="str">
        <f>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92"/>
        <v/>
      </c>
      <c r="T1343" s="174" t="str">
        <f ca="1">IF(B1343="","",IF(ISERROR(MATCH($J1343,SorP!$B$1:$B$6279,0)),"",INDIRECT("'SorP'!$A$"&amp;MATCH($S1343&amp;$J1343,SorP!C:C,0))))</f>
        <v/>
      </c>
      <c r="U1343" s="194"/>
      <c r="V1343" s="218" t="e">
        <f>IF(C1343="",NA(),IF(OR(C1343="Smelter not listed",C1343="Smelter not yet identified"),MATCH($B1343&amp;$D1343,'Smelter Look-up'!$J:$J,0),MATCH($B1343&amp;$C1343,'Smelter Look-up'!$J:$J,0)))</f>
        <v>#N/A</v>
      </c>
      <c r="X1343" s="219">
        <f t="shared" ca="1" si="193"/>
        <v>0</v>
      </c>
      <c r="AB1343" s="220" t="str">
        <f t="shared" si="194"/>
        <v/>
      </c>
    </row>
    <row r="1344" spans="1:28" s="219" customFormat="1" ht="20.25">
      <c r="A1344" s="174"/>
      <c r="B1344" s="175" t="str">
        <f>IF(LEN(A1344)=0,"",INDEX('Smelter Look-up'!$A:$A,MATCH($A1344,'Smelter Look-up'!$E:$E,0)))</f>
        <v/>
      </c>
      <c r="C1344" s="179" t="str">
        <f>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92"/>
        <v/>
      </c>
      <c r="T1344" s="174" t="str">
        <f ca="1">IF(B1344="","",IF(ISERROR(MATCH($J1344,SorP!$B$1:$B$6279,0)),"",INDIRECT("'SorP'!$A$"&amp;MATCH($S1344&amp;$J1344,SorP!C:C,0))))</f>
        <v/>
      </c>
      <c r="U1344" s="194"/>
      <c r="V1344" s="218" t="e">
        <f>IF(C1344="",NA(),IF(OR(C1344="Smelter not listed",C1344="Smelter not yet identified"),MATCH($B1344&amp;$D1344,'Smelter Look-up'!$J:$J,0),MATCH($B1344&amp;$C1344,'Smelter Look-up'!$J:$J,0)))</f>
        <v>#N/A</v>
      </c>
      <c r="X1344" s="219">
        <f t="shared" ca="1" si="193"/>
        <v>0</v>
      </c>
      <c r="AB1344" s="220" t="str">
        <f t="shared" si="194"/>
        <v/>
      </c>
    </row>
    <row r="1345" spans="1:28" s="219" customFormat="1" ht="20.25">
      <c r="A1345" s="174"/>
      <c r="B1345" s="175" t="str">
        <f>IF(LEN(A1345)=0,"",INDEX('Smelter Look-up'!$A:$A,MATCH($A1345,'Smelter Look-up'!$E:$E,0)))</f>
        <v/>
      </c>
      <c r="C1345" s="179" t="str">
        <f>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92"/>
        <v/>
      </c>
      <c r="T1345" s="174" t="str">
        <f ca="1">IF(B1345="","",IF(ISERROR(MATCH($J1345,SorP!$B$1:$B$6279,0)),"",INDIRECT("'SorP'!$A$"&amp;MATCH($S1345&amp;$J1345,SorP!C:C,0))))</f>
        <v/>
      </c>
      <c r="U1345" s="194"/>
      <c r="V1345" s="218" t="e">
        <f>IF(C1345="",NA(),IF(OR(C1345="Smelter not listed",C1345="Smelter not yet identified"),MATCH($B1345&amp;$D1345,'Smelter Look-up'!$J:$J,0),MATCH($B1345&amp;$C1345,'Smelter Look-up'!$J:$J,0)))</f>
        <v>#N/A</v>
      </c>
      <c r="X1345" s="219">
        <f t="shared" ca="1" si="193"/>
        <v>0</v>
      </c>
      <c r="AB1345" s="220" t="str">
        <f t="shared" si="194"/>
        <v/>
      </c>
    </row>
    <row r="1346" spans="1:28" s="219" customFormat="1" ht="20.25">
      <c r="A1346" s="174"/>
      <c r="B1346" s="175" t="str">
        <f>IF(LEN(A1346)=0,"",INDEX('Smelter Look-up'!$A:$A,MATCH($A1346,'Smelter Look-up'!$E:$E,0)))</f>
        <v/>
      </c>
      <c r="C1346" s="179" t="str">
        <f>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92"/>
        <v/>
      </c>
      <c r="T1346" s="174" t="str">
        <f ca="1">IF(B1346="","",IF(ISERROR(MATCH($J1346,SorP!$B$1:$B$6279,0)),"",INDIRECT("'SorP'!$A$"&amp;MATCH($S1346&amp;$J1346,SorP!C:C,0))))</f>
        <v/>
      </c>
      <c r="U1346" s="194"/>
      <c r="V1346" s="218" t="e">
        <f>IF(C1346="",NA(),IF(OR(C1346="Smelter not listed",C1346="Smelter not yet identified"),MATCH($B1346&amp;$D1346,'Smelter Look-up'!$J:$J,0),MATCH($B1346&amp;$C1346,'Smelter Look-up'!$J:$J,0)))</f>
        <v>#N/A</v>
      </c>
      <c r="X1346" s="219">
        <f t="shared" ca="1" si="193"/>
        <v>0</v>
      </c>
      <c r="AB1346" s="220" t="str">
        <f t="shared" si="194"/>
        <v/>
      </c>
    </row>
    <row r="1347" spans="1:28" s="219" customFormat="1" ht="20.25">
      <c r="A1347" s="174"/>
      <c r="B1347" s="175" t="str">
        <f>IF(LEN(A1347)=0,"",INDEX('Smelter Look-up'!$A:$A,MATCH($A1347,'Smelter Look-up'!$E:$E,0)))</f>
        <v/>
      </c>
      <c r="C1347" s="179" t="str">
        <f>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92"/>
        <v/>
      </c>
      <c r="T1347" s="174" t="str">
        <f ca="1">IF(B1347="","",IF(ISERROR(MATCH($J1347,SorP!$B$1:$B$6279,0)),"",INDIRECT("'SorP'!$A$"&amp;MATCH($S1347&amp;$J1347,SorP!C:C,0))))</f>
        <v/>
      </c>
      <c r="U1347" s="194"/>
      <c r="V1347" s="218" t="e">
        <f>IF(C1347="",NA(),IF(OR(C1347="Smelter not listed",C1347="Smelter not yet identified"),MATCH($B1347&amp;$D1347,'Smelter Look-up'!$J:$J,0),MATCH($B1347&amp;$C1347,'Smelter Look-up'!$J:$J,0)))</f>
        <v>#N/A</v>
      </c>
      <c r="X1347" s="219">
        <f t="shared" ca="1" si="193"/>
        <v>0</v>
      </c>
      <c r="AB1347" s="220" t="str">
        <f t="shared" si="194"/>
        <v/>
      </c>
    </row>
    <row r="1348" spans="1:28" s="219" customFormat="1" ht="20.25">
      <c r="A1348" s="174"/>
      <c r="B1348" s="175" t="str">
        <f>IF(LEN(A1348)=0,"",INDEX('Smelter Look-up'!$A:$A,MATCH($A1348,'Smelter Look-up'!$E:$E,0)))</f>
        <v/>
      </c>
      <c r="C1348" s="179" t="str">
        <f>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92"/>
        <v/>
      </c>
      <c r="T1348" s="174" t="str">
        <f ca="1">IF(B1348="","",IF(ISERROR(MATCH($J1348,SorP!$B$1:$B$6279,0)),"",INDIRECT("'SorP'!$A$"&amp;MATCH($S1348&amp;$J1348,SorP!C:C,0))))</f>
        <v/>
      </c>
      <c r="U1348" s="194"/>
      <c r="V1348" s="218" t="e">
        <f>IF(C1348="",NA(),IF(OR(C1348="Smelter not listed",C1348="Smelter not yet identified"),MATCH($B1348&amp;$D1348,'Smelter Look-up'!$J:$J,0),MATCH($B1348&amp;$C1348,'Smelter Look-up'!$J:$J,0)))</f>
        <v>#N/A</v>
      </c>
      <c r="X1348" s="219">
        <f t="shared" ca="1" si="193"/>
        <v>0</v>
      </c>
      <c r="AB1348" s="220" t="str">
        <f t="shared" si="194"/>
        <v/>
      </c>
    </row>
    <row r="1349" spans="1:28" s="219" customFormat="1" ht="20.25">
      <c r="A1349" s="174"/>
      <c r="B1349" s="175" t="str">
        <f>IF(LEN(A1349)=0,"",INDEX('Smelter Look-up'!$A:$A,MATCH($A1349,'Smelter Look-up'!$E:$E,0)))</f>
        <v/>
      </c>
      <c r="C1349" s="179" t="str">
        <f>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92"/>
        <v/>
      </c>
      <c r="T1349" s="174" t="str">
        <f ca="1">IF(B1349="","",IF(ISERROR(MATCH($J1349,SorP!$B$1:$B$6279,0)),"",INDIRECT("'SorP'!$A$"&amp;MATCH($S1349&amp;$J1349,SorP!C:C,0))))</f>
        <v/>
      </c>
      <c r="U1349" s="194"/>
      <c r="V1349" s="218" t="e">
        <f>IF(C1349="",NA(),IF(OR(C1349="Smelter not listed",C1349="Smelter not yet identified"),MATCH($B1349&amp;$D1349,'Smelter Look-up'!$J:$J,0),MATCH($B1349&amp;$C1349,'Smelter Look-up'!$J:$J,0)))</f>
        <v>#N/A</v>
      </c>
      <c r="X1349" s="219">
        <f t="shared" ca="1" si="193"/>
        <v>0</v>
      </c>
      <c r="AB1349" s="220" t="str">
        <f t="shared" si="194"/>
        <v/>
      </c>
    </row>
    <row r="1350" spans="1:28" s="219" customFormat="1" ht="20.25">
      <c r="A1350" s="174"/>
      <c r="B1350" s="175" t="str">
        <f>IF(LEN(A1350)=0,"",INDEX('Smelter Look-up'!$A:$A,MATCH($A1350,'Smelter Look-up'!$E:$E,0)))</f>
        <v/>
      </c>
      <c r="C1350" s="179" t="str">
        <f>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92"/>
        <v/>
      </c>
      <c r="T1350" s="174" t="str">
        <f ca="1">IF(B1350="","",IF(ISERROR(MATCH($J1350,SorP!$B$1:$B$6279,0)),"",INDIRECT("'SorP'!$A$"&amp;MATCH($S1350&amp;$J1350,SorP!C:C,0))))</f>
        <v/>
      </c>
      <c r="U1350" s="194"/>
      <c r="V1350" s="218" t="e">
        <f>IF(C1350="",NA(),IF(OR(C1350="Smelter not listed",C1350="Smelter not yet identified"),MATCH($B1350&amp;$D1350,'Smelter Look-up'!$J:$J,0),MATCH($B1350&amp;$C1350,'Smelter Look-up'!$J:$J,0)))</f>
        <v>#N/A</v>
      </c>
      <c r="X1350" s="219">
        <f t="shared" ca="1" si="193"/>
        <v>0</v>
      </c>
      <c r="AB1350" s="220" t="str">
        <f t="shared" si="194"/>
        <v/>
      </c>
    </row>
    <row r="1351" spans="1:28" s="219" customFormat="1" ht="20.25">
      <c r="A1351" s="174"/>
      <c r="B1351" s="175" t="str">
        <f>IF(LEN(A1351)=0,"",INDEX('Smelter Look-up'!$A:$A,MATCH($A1351,'Smelter Look-up'!$E:$E,0)))</f>
        <v/>
      </c>
      <c r="C1351" s="179" t="str">
        <f>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92"/>
        <v/>
      </c>
      <c r="T1351" s="174" t="str">
        <f ca="1">IF(B1351="","",IF(ISERROR(MATCH($J1351,SorP!$B$1:$B$6279,0)),"",INDIRECT("'SorP'!$A$"&amp;MATCH($S1351&amp;$J1351,SorP!C:C,0))))</f>
        <v/>
      </c>
      <c r="U1351" s="194"/>
      <c r="V1351" s="218" t="e">
        <f>IF(C1351="",NA(),IF(OR(C1351="Smelter not listed",C1351="Smelter not yet identified"),MATCH($B1351&amp;$D1351,'Smelter Look-up'!$J:$J,0),MATCH($B1351&amp;$C1351,'Smelter Look-up'!$J:$J,0)))</f>
        <v>#N/A</v>
      </c>
      <c r="X1351" s="219">
        <f t="shared" ca="1" si="193"/>
        <v>0</v>
      </c>
      <c r="AB1351" s="220" t="str">
        <f t="shared" si="194"/>
        <v/>
      </c>
    </row>
    <row r="1352" spans="1:28" s="219" customFormat="1" ht="20.25">
      <c r="A1352" s="174"/>
      <c r="B1352" s="175" t="str">
        <f>IF(LEN(A1352)=0,"",INDEX('Smelter Look-up'!$A:$A,MATCH($A1352,'Smelter Look-up'!$E:$E,0)))</f>
        <v/>
      </c>
      <c r="C1352" s="179" t="str">
        <f>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92"/>
        <v/>
      </c>
      <c r="T1352" s="174" t="str">
        <f ca="1">IF(B1352="","",IF(ISERROR(MATCH($J1352,SorP!$B$1:$B$6279,0)),"",INDIRECT("'SorP'!$A$"&amp;MATCH($S1352&amp;$J1352,SorP!C:C,0))))</f>
        <v/>
      </c>
      <c r="U1352" s="194"/>
      <c r="V1352" s="218" t="e">
        <f>IF(C1352="",NA(),IF(OR(C1352="Smelter not listed",C1352="Smelter not yet identified"),MATCH($B1352&amp;$D1352,'Smelter Look-up'!$J:$J,0),MATCH($B1352&amp;$C1352,'Smelter Look-up'!$J:$J,0)))</f>
        <v>#N/A</v>
      </c>
      <c r="X1352" s="219">
        <f t="shared" ca="1" si="193"/>
        <v>0</v>
      </c>
      <c r="AB1352" s="220" t="str">
        <f t="shared" si="194"/>
        <v/>
      </c>
    </row>
    <row r="1353" spans="1:28" s="219" customFormat="1" ht="20.25">
      <c r="A1353" s="174"/>
      <c r="B1353" s="175" t="str">
        <f>IF(LEN(A1353)=0,"",INDEX('Smelter Look-up'!$A:$A,MATCH($A1353,'Smelter Look-up'!$E:$E,0)))</f>
        <v/>
      </c>
      <c r="C1353" s="179" t="str">
        <f>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92"/>
        <v/>
      </c>
      <c r="T1353" s="174" t="str">
        <f ca="1">IF(B1353="","",IF(ISERROR(MATCH($J1353,SorP!$B$1:$B$6279,0)),"",INDIRECT("'SorP'!$A$"&amp;MATCH($S1353&amp;$J1353,SorP!C:C,0))))</f>
        <v/>
      </c>
      <c r="U1353" s="194"/>
      <c r="V1353" s="218" t="e">
        <f>IF(C1353="",NA(),IF(OR(C1353="Smelter not listed",C1353="Smelter not yet identified"),MATCH($B1353&amp;$D1353,'Smelter Look-up'!$J:$J,0),MATCH($B1353&amp;$C1353,'Smelter Look-up'!$J:$J,0)))</f>
        <v>#N/A</v>
      </c>
      <c r="X1353" s="219">
        <f t="shared" ca="1" si="193"/>
        <v>0</v>
      </c>
      <c r="AB1353" s="220" t="str">
        <f t="shared" si="194"/>
        <v/>
      </c>
    </row>
    <row r="1354" spans="1:28" s="219" customFormat="1" ht="20.25">
      <c r="A1354" s="174"/>
      <c r="B1354" s="175" t="str">
        <f>IF(LEN(A1354)=0,"",INDEX('Smelter Look-up'!$A:$A,MATCH($A1354,'Smelter Look-up'!$E:$E,0)))</f>
        <v/>
      </c>
      <c r="C1354" s="179" t="str">
        <f>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92"/>
        <v/>
      </c>
      <c r="T1354" s="174" t="str">
        <f ca="1">IF(B1354="","",IF(ISERROR(MATCH($J1354,SorP!$B$1:$B$6279,0)),"",INDIRECT("'SorP'!$A$"&amp;MATCH($S1354&amp;$J1354,SorP!C:C,0))))</f>
        <v/>
      </c>
      <c r="U1354" s="194"/>
      <c r="V1354" s="218" t="e">
        <f>IF(C1354="",NA(),IF(OR(C1354="Smelter not listed",C1354="Smelter not yet identified"),MATCH($B1354&amp;$D1354,'Smelter Look-up'!$J:$J,0),MATCH($B1354&amp;$C1354,'Smelter Look-up'!$J:$J,0)))</f>
        <v>#N/A</v>
      </c>
      <c r="X1354" s="219">
        <f t="shared" ca="1" si="193"/>
        <v>0</v>
      </c>
      <c r="AB1354" s="220" t="str">
        <f t="shared" si="194"/>
        <v/>
      </c>
    </row>
    <row r="1355" spans="1:28" s="219" customFormat="1" ht="20.25">
      <c r="A1355" s="174"/>
      <c r="B1355" s="175" t="str">
        <f>IF(LEN(A1355)=0,"",INDEX('Smelter Look-up'!$A:$A,MATCH($A1355,'Smelter Look-up'!$E:$E,0)))</f>
        <v/>
      </c>
      <c r="C1355" s="179" t="str">
        <f>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92"/>
        <v/>
      </c>
      <c r="T1355" s="174" t="str">
        <f ca="1">IF(B1355="","",IF(ISERROR(MATCH($J1355,SorP!$B$1:$B$6279,0)),"",INDIRECT("'SorP'!$A$"&amp;MATCH($S1355&amp;$J1355,SorP!C:C,0))))</f>
        <v/>
      </c>
      <c r="U1355" s="194"/>
      <c r="V1355" s="218" t="e">
        <f>IF(C1355="",NA(),IF(OR(C1355="Smelter not listed",C1355="Smelter not yet identified"),MATCH($B1355&amp;$D1355,'Smelter Look-up'!$J:$J,0),MATCH($B1355&amp;$C1355,'Smelter Look-up'!$J:$J,0)))</f>
        <v>#N/A</v>
      </c>
      <c r="X1355" s="219">
        <f t="shared" ca="1" si="193"/>
        <v>0</v>
      </c>
      <c r="AB1355" s="220" t="str">
        <f t="shared" si="194"/>
        <v/>
      </c>
    </row>
    <row r="1356" spans="1:28" s="219" customFormat="1" ht="20.25">
      <c r="A1356" s="174"/>
      <c r="B1356" s="175" t="str">
        <f>IF(LEN(A1356)=0,"",INDEX('Smelter Look-up'!$A:$A,MATCH($A1356,'Smelter Look-up'!$E:$E,0)))</f>
        <v/>
      </c>
      <c r="C1356" s="179" t="str">
        <f>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92"/>
        <v/>
      </c>
      <c r="T1356" s="174" t="str">
        <f ca="1">IF(B1356="","",IF(ISERROR(MATCH($J1356,SorP!$B$1:$B$6279,0)),"",INDIRECT("'SorP'!$A$"&amp;MATCH($S1356&amp;$J1356,SorP!C:C,0))))</f>
        <v/>
      </c>
      <c r="U1356" s="194"/>
      <c r="V1356" s="218" t="e">
        <f>IF(C1356="",NA(),IF(OR(C1356="Smelter not listed",C1356="Smelter not yet identified"),MATCH($B1356&amp;$D1356,'Smelter Look-up'!$J:$J,0),MATCH($B1356&amp;$C1356,'Smelter Look-up'!$J:$J,0)))</f>
        <v>#N/A</v>
      </c>
      <c r="X1356" s="219">
        <f t="shared" ca="1" si="193"/>
        <v>0</v>
      </c>
      <c r="AB1356" s="220" t="str">
        <f t="shared" si="194"/>
        <v/>
      </c>
    </row>
    <row r="1357" spans="1:28" s="219" customFormat="1" ht="20.25">
      <c r="A1357" s="174"/>
      <c r="B1357" s="175" t="str">
        <f>IF(LEN(A1357)=0,"",INDEX('Smelter Look-up'!$A:$A,MATCH($A1357,'Smelter Look-up'!$E:$E,0)))</f>
        <v/>
      </c>
      <c r="C1357" s="179" t="str">
        <f>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92"/>
        <v/>
      </c>
      <c r="T1357" s="174" t="str">
        <f ca="1">IF(B1357="","",IF(ISERROR(MATCH($J1357,SorP!$B$1:$B$6279,0)),"",INDIRECT("'SorP'!$A$"&amp;MATCH($S1357&amp;$J1357,SorP!C:C,0))))</f>
        <v/>
      </c>
      <c r="U1357" s="194"/>
      <c r="V1357" s="218" t="e">
        <f>IF(C1357="",NA(),IF(OR(C1357="Smelter not listed",C1357="Smelter not yet identified"),MATCH($B1357&amp;$D1357,'Smelter Look-up'!$J:$J,0),MATCH($B1357&amp;$C1357,'Smelter Look-up'!$J:$J,0)))</f>
        <v>#N/A</v>
      </c>
      <c r="X1357" s="219">
        <f t="shared" ca="1" si="193"/>
        <v>0</v>
      </c>
      <c r="AB1357" s="220" t="str">
        <f t="shared" si="194"/>
        <v/>
      </c>
    </row>
    <row r="1358" spans="1:28" s="219" customFormat="1" ht="20.25">
      <c r="A1358" s="174"/>
      <c r="B1358" s="175" t="str">
        <f>IF(LEN(A1358)=0,"",INDEX('Smelter Look-up'!$A:$A,MATCH($A1358,'Smelter Look-up'!$E:$E,0)))</f>
        <v/>
      </c>
      <c r="C1358" s="179" t="str">
        <f>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92"/>
        <v/>
      </c>
      <c r="T1358" s="174" t="str">
        <f ca="1">IF(B1358="","",IF(ISERROR(MATCH($J1358,SorP!$B$1:$B$6279,0)),"",INDIRECT("'SorP'!$A$"&amp;MATCH($S1358&amp;$J1358,SorP!C:C,0))))</f>
        <v/>
      </c>
      <c r="U1358" s="194"/>
      <c r="V1358" s="218" t="e">
        <f>IF(C1358="",NA(),IF(OR(C1358="Smelter not listed",C1358="Smelter not yet identified"),MATCH($B1358&amp;$D1358,'Smelter Look-up'!$J:$J,0),MATCH($B1358&amp;$C1358,'Smelter Look-up'!$J:$J,0)))</f>
        <v>#N/A</v>
      </c>
      <c r="X1358" s="219">
        <f t="shared" ca="1" si="193"/>
        <v>0</v>
      </c>
      <c r="AB1358" s="220" t="str">
        <f t="shared" si="194"/>
        <v/>
      </c>
    </row>
    <row r="1359" spans="1:28" s="219" customFormat="1" ht="20.25">
      <c r="A1359" s="174"/>
      <c r="B1359" s="175" t="str">
        <f>IF(LEN(A1359)=0,"",INDEX('Smelter Look-up'!$A:$A,MATCH($A1359,'Smelter Look-up'!$E:$E,0)))</f>
        <v/>
      </c>
      <c r="C1359" s="179" t="str">
        <f>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92"/>
        <v/>
      </c>
      <c r="T1359" s="174" t="str">
        <f ca="1">IF(B1359="","",IF(ISERROR(MATCH($J1359,SorP!$B$1:$B$6279,0)),"",INDIRECT("'SorP'!$A$"&amp;MATCH($S1359&amp;$J1359,SorP!C:C,0))))</f>
        <v/>
      </c>
      <c r="U1359" s="194"/>
      <c r="V1359" s="218" t="e">
        <f>IF(C1359="",NA(),IF(OR(C1359="Smelter not listed",C1359="Smelter not yet identified"),MATCH($B1359&amp;$D1359,'Smelter Look-up'!$J:$J,0),MATCH($B1359&amp;$C1359,'Smelter Look-up'!$J:$J,0)))</f>
        <v>#N/A</v>
      </c>
      <c r="X1359" s="219">
        <f t="shared" ca="1" si="193"/>
        <v>0</v>
      </c>
      <c r="AB1359" s="220" t="str">
        <f t="shared" si="194"/>
        <v/>
      </c>
    </row>
    <row r="1360" spans="1:28" s="219" customFormat="1" ht="20.25">
      <c r="A1360" s="174"/>
      <c r="B1360" s="175" t="str">
        <f>IF(LEN(A1360)=0,"",INDEX('Smelter Look-up'!$A:$A,MATCH($A1360,'Smelter Look-up'!$E:$E,0)))</f>
        <v/>
      </c>
      <c r="C1360" s="179" t="str">
        <f>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92"/>
        <v/>
      </c>
      <c r="T1360" s="174" t="str">
        <f ca="1">IF(B1360="","",IF(ISERROR(MATCH($J1360,SorP!$B$1:$B$6279,0)),"",INDIRECT("'SorP'!$A$"&amp;MATCH($S1360&amp;$J1360,SorP!C:C,0))))</f>
        <v/>
      </c>
      <c r="U1360" s="194"/>
      <c r="V1360" s="218" t="e">
        <f>IF(C1360="",NA(),IF(OR(C1360="Smelter not listed",C1360="Smelter not yet identified"),MATCH($B1360&amp;$D1360,'Smelter Look-up'!$J:$J,0),MATCH($B1360&amp;$C1360,'Smelter Look-up'!$J:$J,0)))</f>
        <v>#N/A</v>
      </c>
      <c r="X1360" s="219">
        <f t="shared" ca="1" si="193"/>
        <v>0</v>
      </c>
      <c r="AB1360" s="220" t="str">
        <f t="shared" si="194"/>
        <v/>
      </c>
    </row>
    <row r="1361" spans="1:28" s="219" customFormat="1" ht="20.25">
      <c r="A1361" s="174"/>
      <c r="B1361" s="175" t="str">
        <f>IF(LEN(A1361)=0,"",INDEX('Smelter Look-up'!$A:$A,MATCH($A1361,'Smelter Look-up'!$E:$E,0)))</f>
        <v/>
      </c>
      <c r="C1361" s="179" t="str">
        <f>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92"/>
        <v/>
      </c>
      <c r="T1361" s="174" t="str">
        <f ca="1">IF(B1361="","",IF(ISERROR(MATCH($J1361,SorP!$B$1:$B$6279,0)),"",INDIRECT("'SorP'!$A$"&amp;MATCH($S1361&amp;$J1361,SorP!C:C,0))))</f>
        <v/>
      </c>
      <c r="U1361" s="194"/>
      <c r="V1361" s="218" t="e">
        <f>IF(C1361="",NA(),IF(OR(C1361="Smelter not listed",C1361="Smelter not yet identified"),MATCH($B1361&amp;$D1361,'Smelter Look-up'!$J:$J,0),MATCH($B1361&amp;$C1361,'Smelter Look-up'!$J:$J,0)))</f>
        <v>#N/A</v>
      </c>
      <c r="X1361" s="219">
        <f t="shared" ca="1" si="193"/>
        <v>0</v>
      </c>
      <c r="AB1361" s="220" t="str">
        <f t="shared" si="194"/>
        <v/>
      </c>
    </row>
    <row r="1362" spans="1:28" s="219" customFormat="1" ht="20.25">
      <c r="A1362" s="174"/>
      <c r="B1362" s="175" t="str">
        <f>IF(LEN(A1362)=0,"",INDEX('Smelter Look-up'!$A:$A,MATCH($A1362,'Smelter Look-up'!$E:$E,0)))</f>
        <v/>
      </c>
      <c r="C1362" s="179" t="str">
        <f>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92"/>
        <v/>
      </c>
      <c r="T1362" s="174" t="str">
        <f ca="1">IF(B1362="","",IF(ISERROR(MATCH($J1362,SorP!$B$1:$B$6279,0)),"",INDIRECT("'SorP'!$A$"&amp;MATCH($S1362&amp;$J1362,SorP!C:C,0))))</f>
        <v/>
      </c>
      <c r="U1362" s="194"/>
      <c r="V1362" s="218" t="e">
        <f>IF(C1362="",NA(),IF(OR(C1362="Smelter not listed",C1362="Smelter not yet identified"),MATCH($B1362&amp;$D1362,'Smelter Look-up'!$J:$J,0),MATCH($B1362&amp;$C1362,'Smelter Look-up'!$J:$J,0)))</f>
        <v>#N/A</v>
      </c>
      <c r="X1362" s="219">
        <f t="shared" ca="1" si="193"/>
        <v>0</v>
      </c>
      <c r="AB1362" s="220" t="str">
        <f t="shared" si="194"/>
        <v/>
      </c>
    </row>
    <row r="1363" spans="1:28" s="219" customFormat="1" ht="20.25">
      <c r="A1363" s="174"/>
      <c r="B1363" s="175" t="str">
        <f>IF(LEN(A1363)=0,"",INDEX('Smelter Look-up'!$A:$A,MATCH($A1363,'Smelter Look-up'!$E:$E,0)))</f>
        <v/>
      </c>
      <c r="C1363" s="179" t="str">
        <f>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92"/>
        <v/>
      </c>
      <c r="T1363" s="174" t="str">
        <f ca="1">IF(B1363="","",IF(ISERROR(MATCH($J1363,SorP!$B$1:$B$6279,0)),"",INDIRECT("'SorP'!$A$"&amp;MATCH($S1363&amp;$J1363,SorP!C:C,0))))</f>
        <v/>
      </c>
      <c r="U1363" s="194"/>
      <c r="V1363" s="218" t="e">
        <f>IF(C1363="",NA(),IF(OR(C1363="Smelter not listed",C1363="Smelter not yet identified"),MATCH($B1363&amp;$D1363,'Smelter Look-up'!$J:$J,0),MATCH($B1363&amp;$C1363,'Smelter Look-up'!$J:$J,0)))</f>
        <v>#N/A</v>
      </c>
      <c r="X1363" s="219">
        <f t="shared" ca="1" si="193"/>
        <v>0</v>
      </c>
      <c r="AB1363" s="220" t="str">
        <f t="shared" si="194"/>
        <v/>
      </c>
    </row>
    <row r="1364" spans="1:28" s="219" customFormat="1" ht="20.25">
      <c r="A1364" s="174"/>
      <c r="B1364" s="175" t="str">
        <f>IF(LEN(A1364)=0,"",INDEX('Smelter Look-up'!$A:$A,MATCH($A1364,'Smelter Look-up'!$E:$E,0)))</f>
        <v/>
      </c>
      <c r="C1364" s="179" t="str">
        <f>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92"/>
        <v/>
      </c>
      <c r="T1364" s="174" t="str">
        <f ca="1">IF(B1364="","",IF(ISERROR(MATCH($J1364,SorP!$B$1:$B$6279,0)),"",INDIRECT("'SorP'!$A$"&amp;MATCH($S1364&amp;$J1364,SorP!C:C,0))))</f>
        <v/>
      </c>
      <c r="U1364" s="194"/>
      <c r="V1364" s="218" t="e">
        <f>IF(C1364="",NA(),IF(OR(C1364="Smelter not listed",C1364="Smelter not yet identified"),MATCH($B1364&amp;$D1364,'Smelter Look-up'!$J:$J,0),MATCH($B1364&amp;$C1364,'Smelter Look-up'!$J:$J,0)))</f>
        <v>#N/A</v>
      </c>
      <c r="X1364" s="219">
        <f t="shared" ca="1" si="193"/>
        <v>0</v>
      </c>
      <c r="AB1364" s="220" t="str">
        <f t="shared" si="194"/>
        <v/>
      </c>
    </row>
    <row r="1365" spans="1:28" s="219" customFormat="1" ht="20.25">
      <c r="A1365" s="174"/>
      <c r="B1365" s="175" t="str">
        <f>IF(LEN(A1365)=0,"",INDEX('Smelter Look-up'!$A:$A,MATCH($A1365,'Smelter Look-up'!$E:$E,0)))</f>
        <v/>
      </c>
      <c r="C1365" s="179" t="str">
        <f>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92"/>
        <v/>
      </c>
      <c r="T1365" s="174" t="str">
        <f ca="1">IF(B1365="","",IF(ISERROR(MATCH($J1365,SorP!$B$1:$B$6279,0)),"",INDIRECT("'SorP'!$A$"&amp;MATCH($S1365&amp;$J1365,SorP!C:C,0))))</f>
        <v/>
      </c>
      <c r="U1365" s="194"/>
      <c r="V1365" s="218" t="e">
        <f>IF(C1365="",NA(),IF(OR(C1365="Smelter not listed",C1365="Smelter not yet identified"),MATCH($B1365&amp;$D1365,'Smelter Look-up'!$J:$J,0),MATCH($B1365&amp;$C1365,'Smelter Look-up'!$J:$J,0)))</f>
        <v>#N/A</v>
      </c>
      <c r="X1365" s="219">
        <f t="shared" ca="1" si="193"/>
        <v>0</v>
      </c>
      <c r="AB1365" s="220" t="str">
        <f t="shared" si="194"/>
        <v/>
      </c>
    </row>
    <row r="1366" spans="1:28" s="219" customFormat="1" ht="20.25">
      <c r="A1366" s="174"/>
      <c r="B1366" s="175" t="str">
        <f>IF(LEN(A1366)=0,"",INDEX('Smelter Look-up'!$A:$A,MATCH($A1366,'Smelter Look-up'!$E:$E,0)))</f>
        <v/>
      </c>
      <c r="C1366" s="179" t="str">
        <f>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92"/>
        <v/>
      </c>
      <c r="T1366" s="174" t="str">
        <f ca="1">IF(B1366="","",IF(ISERROR(MATCH($J1366,SorP!$B$1:$B$6279,0)),"",INDIRECT("'SorP'!$A$"&amp;MATCH($S1366&amp;$J1366,SorP!C:C,0))))</f>
        <v/>
      </c>
      <c r="U1366" s="194"/>
      <c r="V1366" s="218" t="e">
        <f>IF(C1366="",NA(),IF(OR(C1366="Smelter not listed",C1366="Smelter not yet identified"),MATCH($B1366&amp;$D1366,'Smelter Look-up'!$J:$J,0),MATCH($B1366&amp;$C1366,'Smelter Look-up'!$J:$J,0)))</f>
        <v>#N/A</v>
      </c>
      <c r="X1366" s="219">
        <f t="shared" ca="1" si="193"/>
        <v>0</v>
      </c>
      <c r="AB1366" s="220" t="str">
        <f t="shared" si="194"/>
        <v/>
      </c>
    </row>
    <row r="1367" spans="1:28" s="219" customFormat="1" ht="20.25">
      <c r="A1367" s="174"/>
      <c r="B1367" s="175" t="str">
        <f>IF(LEN(A1367)=0,"",INDEX('Smelter Look-up'!$A:$A,MATCH($A1367,'Smelter Look-up'!$E:$E,0)))</f>
        <v/>
      </c>
      <c r="C1367" s="179" t="str">
        <f>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92"/>
        <v/>
      </c>
      <c r="T1367" s="174" t="str">
        <f ca="1">IF(B1367="","",IF(ISERROR(MATCH($J1367,SorP!$B$1:$B$6279,0)),"",INDIRECT("'SorP'!$A$"&amp;MATCH($S1367&amp;$J1367,SorP!C:C,0))))</f>
        <v/>
      </c>
      <c r="U1367" s="194"/>
      <c r="V1367" s="218" t="e">
        <f>IF(C1367="",NA(),IF(OR(C1367="Smelter not listed",C1367="Smelter not yet identified"),MATCH($B1367&amp;$D1367,'Smelter Look-up'!$J:$J,0),MATCH($B1367&amp;$C1367,'Smelter Look-up'!$J:$J,0)))</f>
        <v>#N/A</v>
      </c>
      <c r="X1367" s="219">
        <f t="shared" ca="1" si="193"/>
        <v>0</v>
      </c>
      <c r="AB1367" s="220" t="str">
        <f t="shared" si="194"/>
        <v/>
      </c>
    </row>
    <row r="1368" spans="1:28" s="219" customFormat="1" ht="20.25">
      <c r="A1368" s="174"/>
      <c r="B1368" s="175" t="str">
        <f>IF(LEN(A1368)=0,"",INDEX('Smelter Look-up'!$A:$A,MATCH($A1368,'Smelter Look-up'!$E:$E,0)))</f>
        <v/>
      </c>
      <c r="C1368" s="179" t="str">
        <f>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92"/>
        <v/>
      </c>
      <c r="T1368" s="174" t="str">
        <f ca="1">IF(B1368="","",IF(ISERROR(MATCH($J1368,SorP!$B$1:$B$6279,0)),"",INDIRECT("'SorP'!$A$"&amp;MATCH($S1368&amp;$J1368,SorP!C:C,0))))</f>
        <v/>
      </c>
      <c r="U1368" s="194"/>
      <c r="V1368" s="218" t="e">
        <f>IF(C1368="",NA(),IF(OR(C1368="Smelter not listed",C1368="Smelter not yet identified"),MATCH($B1368&amp;$D1368,'Smelter Look-up'!$J:$J,0),MATCH($B1368&amp;$C1368,'Smelter Look-up'!$J:$J,0)))</f>
        <v>#N/A</v>
      </c>
      <c r="X1368" s="219">
        <f t="shared" ca="1" si="193"/>
        <v>0</v>
      </c>
      <c r="AB1368" s="220" t="str">
        <f t="shared" si="194"/>
        <v/>
      </c>
    </row>
    <row r="1369" spans="1:28" s="219" customFormat="1" ht="20.25">
      <c r="A1369" s="174"/>
      <c r="B1369" s="175" t="str">
        <f>IF(LEN(A1369)=0,"",INDEX('Smelter Look-up'!$A:$A,MATCH($A1369,'Smelter Look-up'!$E:$E,0)))</f>
        <v/>
      </c>
      <c r="C1369" s="179" t="str">
        <f>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92"/>
        <v/>
      </c>
      <c r="T1369" s="174" t="str">
        <f ca="1">IF(B1369="","",IF(ISERROR(MATCH($J1369,SorP!$B$1:$B$6279,0)),"",INDIRECT("'SorP'!$A$"&amp;MATCH($S1369&amp;$J1369,SorP!C:C,0))))</f>
        <v/>
      </c>
      <c r="U1369" s="194"/>
      <c r="V1369" s="218" t="e">
        <f>IF(C1369="",NA(),IF(OR(C1369="Smelter not listed",C1369="Smelter not yet identified"),MATCH($B1369&amp;$D1369,'Smelter Look-up'!$J:$J,0),MATCH($B1369&amp;$C1369,'Smelter Look-up'!$J:$J,0)))</f>
        <v>#N/A</v>
      </c>
      <c r="X1369" s="219">
        <f t="shared" ca="1" si="193"/>
        <v>0</v>
      </c>
      <c r="AB1369" s="220" t="str">
        <f t="shared" si="194"/>
        <v/>
      </c>
    </row>
    <row r="1370" spans="1:28" s="219" customFormat="1" ht="20.25">
      <c r="A1370" s="174"/>
      <c r="B1370" s="175" t="str">
        <f>IF(LEN(A1370)=0,"",INDEX('Smelter Look-up'!$A:$A,MATCH($A1370,'Smelter Look-up'!$E:$E,0)))</f>
        <v/>
      </c>
      <c r="C1370" s="179" t="str">
        <f>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192"/>
        <v/>
      </c>
      <c r="T1370" s="174" t="str">
        <f ca="1">IF(B1370="","",IF(ISERROR(MATCH($J1370,SorP!$B$1:$B$6279,0)),"",INDIRECT("'SorP'!$A$"&amp;MATCH($S1370&amp;$J1370,SorP!C:C,0))))</f>
        <v/>
      </c>
      <c r="U1370" s="194"/>
      <c r="V1370" s="218" t="e">
        <f>IF(C1370="",NA(),IF(OR(C1370="Smelter not listed",C1370="Smelter not yet identified"),MATCH($B1370&amp;$D1370,'Smelter Look-up'!$J:$J,0),MATCH($B1370&amp;$C1370,'Smelter Look-up'!$J:$J,0)))</f>
        <v>#N/A</v>
      </c>
      <c r="X1370" s="219">
        <f t="shared" ca="1" si="193"/>
        <v>0</v>
      </c>
      <c r="AB1370" s="220" t="str">
        <f t="shared" si="194"/>
        <v/>
      </c>
    </row>
    <row r="1371" spans="1:28" s="219" customFormat="1" ht="20.25">
      <c r="A1371" s="174"/>
      <c r="B1371" s="175" t="str">
        <f>IF(LEN(A1371)=0,"",INDEX('Smelter Look-up'!$A:$A,MATCH($A1371,'Smelter Look-up'!$E:$E,0)))</f>
        <v/>
      </c>
      <c r="C1371" s="179" t="str">
        <f>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192"/>
        <v/>
      </c>
      <c r="T1371" s="174" t="str">
        <f ca="1">IF(B1371="","",IF(ISERROR(MATCH($J1371,SorP!$B$1:$B$6279,0)),"",INDIRECT("'SorP'!$A$"&amp;MATCH($S1371&amp;$J1371,SorP!C:C,0))))</f>
        <v/>
      </c>
      <c r="U1371" s="194"/>
      <c r="V1371" s="218" t="e">
        <f>IF(C1371="",NA(),IF(OR(C1371="Smelter not listed",C1371="Smelter not yet identified"),MATCH($B1371&amp;$D1371,'Smelter Look-up'!$J:$J,0),MATCH($B1371&amp;$C1371,'Smelter Look-up'!$J:$J,0)))</f>
        <v>#N/A</v>
      </c>
      <c r="X1371" s="219">
        <f t="shared" ca="1" si="193"/>
        <v>0</v>
      </c>
      <c r="AB1371" s="220" t="str">
        <f t="shared" si="194"/>
        <v/>
      </c>
    </row>
    <row r="1372" spans="1:28" s="219" customFormat="1" ht="20.25">
      <c r="A1372" s="174"/>
      <c r="B1372" s="175" t="str">
        <f>IF(LEN(A1372)=0,"",INDEX('Smelter Look-up'!$A:$A,MATCH($A1372,'Smelter Look-up'!$E:$E,0)))</f>
        <v/>
      </c>
      <c r="C1372" s="179" t="str">
        <f>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ref="S1372:S1402" ca="1" si="195">IF(B1372="","",IF(ISERROR(MATCH($E1372,CL,0)),"Unknown",INDIRECT("'C'!$A$"&amp;MATCH($E1372,CL,0)+1)))</f>
        <v/>
      </c>
      <c r="T1372" s="174" t="str">
        <f ca="1">IF(B1372="","",IF(ISERROR(MATCH($J1372,SorP!$B$1:$B$6279,0)),"",INDIRECT("'SorP'!$A$"&amp;MATCH($S1372&amp;$J1372,SorP!C:C,0))))</f>
        <v/>
      </c>
      <c r="U1372" s="194"/>
      <c r="V1372" s="218" t="e">
        <f>IF(C1372="",NA(),IF(OR(C1372="Smelter not listed",C1372="Smelter not yet identified"),MATCH($B1372&amp;$D1372,'Smelter Look-up'!$J:$J,0),MATCH($B1372&amp;$C1372,'Smelter Look-up'!$J:$J,0)))</f>
        <v>#N/A</v>
      </c>
      <c r="X1372" s="219">
        <f t="shared" ref="X1372:X1402" ca="1" si="196">IF(AND(C1372="Smelter not listed",OR(LEN(D1372)=0,LEN(E1372)=0)),1,0)</f>
        <v>0</v>
      </c>
      <c r="AB1372" s="220" t="str">
        <f t="shared" ref="AB1372:AB1402" si="197">B1372&amp;C1372</f>
        <v/>
      </c>
    </row>
    <row r="1373" spans="1:28" s="219" customFormat="1" ht="20.25">
      <c r="A1373" s="174"/>
      <c r="B1373" s="175" t="str">
        <f>IF(LEN(A1373)=0,"",INDEX('Smelter Look-up'!$A:$A,MATCH($A1373,'Smelter Look-up'!$E:$E,0)))</f>
        <v/>
      </c>
      <c r="C1373" s="179" t="str">
        <f>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95"/>
        <v/>
      </c>
      <c r="T1373" s="174" t="str">
        <f ca="1">IF(B1373="","",IF(ISERROR(MATCH($J1373,SorP!$B$1:$B$6279,0)),"",INDIRECT("'SorP'!$A$"&amp;MATCH($S1373&amp;$J1373,SorP!C:C,0))))</f>
        <v/>
      </c>
      <c r="U1373" s="194"/>
      <c r="V1373" s="218" t="e">
        <f>IF(C1373="",NA(),IF(OR(C1373="Smelter not listed",C1373="Smelter not yet identified"),MATCH($B1373&amp;$D1373,'Smelter Look-up'!$J:$J,0),MATCH($B1373&amp;$C1373,'Smelter Look-up'!$J:$J,0)))</f>
        <v>#N/A</v>
      </c>
      <c r="X1373" s="219">
        <f t="shared" ca="1" si="196"/>
        <v>0</v>
      </c>
      <c r="AB1373" s="220" t="str">
        <f t="shared" si="197"/>
        <v/>
      </c>
    </row>
    <row r="1374" spans="1:28" s="219" customFormat="1" ht="20.25">
      <c r="A1374" s="174"/>
      <c r="B1374" s="175" t="str">
        <f>IF(LEN(A1374)=0,"",INDEX('Smelter Look-up'!$A:$A,MATCH($A1374,'Smelter Look-up'!$E:$E,0)))</f>
        <v/>
      </c>
      <c r="C1374" s="179" t="str">
        <f>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95"/>
        <v/>
      </c>
      <c r="T1374" s="174" t="str">
        <f ca="1">IF(B1374="","",IF(ISERROR(MATCH($J1374,SorP!$B$1:$B$6279,0)),"",INDIRECT("'SorP'!$A$"&amp;MATCH($S1374&amp;$J1374,SorP!C:C,0))))</f>
        <v/>
      </c>
      <c r="U1374" s="194"/>
      <c r="V1374" s="218" t="e">
        <f>IF(C1374="",NA(),IF(OR(C1374="Smelter not listed",C1374="Smelter not yet identified"),MATCH($B1374&amp;$D1374,'Smelter Look-up'!$J:$J,0),MATCH($B1374&amp;$C1374,'Smelter Look-up'!$J:$J,0)))</f>
        <v>#N/A</v>
      </c>
      <c r="X1374" s="219">
        <f t="shared" ca="1" si="196"/>
        <v>0</v>
      </c>
      <c r="AB1374" s="220" t="str">
        <f t="shared" si="197"/>
        <v/>
      </c>
    </row>
    <row r="1375" spans="1:28" s="219" customFormat="1" ht="20.25">
      <c r="A1375" s="174"/>
      <c r="B1375" s="175" t="str">
        <f>IF(LEN(A1375)=0,"",INDEX('Smelter Look-up'!$A:$A,MATCH($A1375,'Smelter Look-up'!$E:$E,0)))</f>
        <v/>
      </c>
      <c r="C1375" s="179" t="str">
        <f>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95"/>
        <v/>
      </c>
      <c r="T1375" s="174" t="str">
        <f ca="1">IF(B1375="","",IF(ISERROR(MATCH($J1375,SorP!$B$1:$B$6279,0)),"",INDIRECT("'SorP'!$A$"&amp;MATCH($S1375&amp;$J1375,SorP!C:C,0))))</f>
        <v/>
      </c>
      <c r="U1375" s="194"/>
      <c r="V1375" s="218" t="e">
        <f>IF(C1375="",NA(),IF(OR(C1375="Smelter not listed",C1375="Smelter not yet identified"),MATCH($B1375&amp;$D1375,'Smelter Look-up'!$J:$J,0),MATCH($B1375&amp;$C1375,'Smelter Look-up'!$J:$J,0)))</f>
        <v>#N/A</v>
      </c>
      <c r="X1375" s="219">
        <f t="shared" ca="1" si="196"/>
        <v>0</v>
      </c>
      <c r="AB1375" s="220" t="str">
        <f t="shared" si="197"/>
        <v/>
      </c>
    </row>
    <row r="1376" spans="1:28" s="219" customFormat="1" ht="20.25">
      <c r="A1376" s="174"/>
      <c r="B1376" s="175" t="str">
        <f>IF(LEN(A1376)=0,"",INDEX('Smelter Look-up'!$A:$A,MATCH($A1376,'Smelter Look-up'!$E:$E,0)))</f>
        <v/>
      </c>
      <c r="C1376" s="179" t="str">
        <f>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95"/>
        <v/>
      </c>
      <c r="T1376" s="174" t="str">
        <f ca="1">IF(B1376="","",IF(ISERROR(MATCH($J1376,SorP!$B$1:$B$6279,0)),"",INDIRECT("'SorP'!$A$"&amp;MATCH($S1376&amp;$J1376,SorP!C:C,0))))</f>
        <v/>
      </c>
      <c r="U1376" s="194"/>
      <c r="V1376" s="218" t="e">
        <f>IF(C1376="",NA(),IF(OR(C1376="Smelter not listed",C1376="Smelter not yet identified"),MATCH($B1376&amp;$D1376,'Smelter Look-up'!$J:$J,0),MATCH($B1376&amp;$C1376,'Smelter Look-up'!$J:$J,0)))</f>
        <v>#N/A</v>
      </c>
      <c r="X1376" s="219">
        <f t="shared" ca="1" si="196"/>
        <v>0</v>
      </c>
      <c r="AB1376" s="220" t="str">
        <f t="shared" si="197"/>
        <v/>
      </c>
    </row>
    <row r="1377" spans="1:28" s="219" customFormat="1" ht="20.25">
      <c r="A1377" s="174"/>
      <c r="B1377" s="175" t="str">
        <f>IF(LEN(A1377)=0,"",INDEX('Smelter Look-up'!$A:$A,MATCH($A1377,'Smelter Look-up'!$E:$E,0)))</f>
        <v/>
      </c>
      <c r="C1377" s="179" t="str">
        <f>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95"/>
        <v/>
      </c>
      <c r="T1377" s="174" t="str">
        <f ca="1">IF(B1377="","",IF(ISERROR(MATCH($J1377,SorP!$B$1:$B$6279,0)),"",INDIRECT("'SorP'!$A$"&amp;MATCH($S1377&amp;$J1377,SorP!C:C,0))))</f>
        <v/>
      </c>
      <c r="U1377" s="194"/>
      <c r="V1377" s="218" t="e">
        <f>IF(C1377="",NA(),IF(OR(C1377="Smelter not listed",C1377="Smelter not yet identified"),MATCH($B1377&amp;$D1377,'Smelter Look-up'!$J:$J,0),MATCH($B1377&amp;$C1377,'Smelter Look-up'!$J:$J,0)))</f>
        <v>#N/A</v>
      </c>
      <c r="X1377" s="219">
        <f t="shared" ca="1" si="196"/>
        <v>0</v>
      </c>
      <c r="AB1377" s="220" t="str">
        <f t="shared" si="197"/>
        <v/>
      </c>
    </row>
    <row r="1378" spans="1:28" s="219" customFormat="1" ht="20.25">
      <c r="A1378" s="174"/>
      <c r="B1378" s="175" t="str">
        <f>IF(LEN(A1378)=0,"",INDEX('Smelter Look-up'!$A:$A,MATCH($A1378,'Smelter Look-up'!$E:$E,0)))</f>
        <v/>
      </c>
      <c r="C1378" s="179" t="str">
        <f>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95"/>
        <v/>
      </c>
      <c r="T1378" s="174" t="str">
        <f ca="1">IF(B1378="","",IF(ISERROR(MATCH($J1378,SorP!$B$1:$B$6279,0)),"",INDIRECT("'SorP'!$A$"&amp;MATCH($S1378&amp;$J1378,SorP!C:C,0))))</f>
        <v/>
      </c>
      <c r="U1378" s="194"/>
      <c r="V1378" s="218" t="e">
        <f>IF(C1378="",NA(),IF(OR(C1378="Smelter not listed",C1378="Smelter not yet identified"),MATCH($B1378&amp;$D1378,'Smelter Look-up'!$J:$J,0),MATCH($B1378&amp;$C1378,'Smelter Look-up'!$J:$J,0)))</f>
        <v>#N/A</v>
      </c>
      <c r="X1378" s="219">
        <f t="shared" ca="1" si="196"/>
        <v>0</v>
      </c>
      <c r="AB1378" s="220" t="str">
        <f t="shared" si="197"/>
        <v/>
      </c>
    </row>
    <row r="1379" spans="1:28" s="219" customFormat="1" ht="20.25">
      <c r="A1379" s="174"/>
      <c r="B1379" s="175" t="str">
        <f>IF(LEN(A1379)=0,"",INDEX('Smelter Look-up'!$A:$A,MATCH($A1379,'Smelter Look-up'!$E:$E,0)))</f>
        <v/>
      </c>
      <c r="C1379" s="179" t="str">
        <f>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95"/>
        <v/>
      </c>
      <c r="T1379" s="174" t="str">
        <f ca="1">IF(B1379="","",IF(ISERROR(MATCH($J1379,SorP!$B$1:$B$6279,0)),"",INDIRECT("'SorP'!$A$"&amp;MATCH($S1379&amp;$J1379,SorP!C:C,0))))</f>
        <v/>
      </c>
      <c r="U1379" s="194"/>
      <c r="V1379" s="218" t="e">
        <f>IF(C1379="",NA(),IF(OR(C1379="Smelter not listed",C1379="Smelter not yet identified"),MATCH($B1379&amp;$D1379,'Smelter Look-up'!$J:$J,0),MATCH($B1379&amp;$C1379,'Smelter Look-up'!$J:$J,0)))</f>
        <v>#N/A</v>
      </c>
      <c r="X1379" s="219">
        <f t="shared" ca="1" si="196"/>
        <v>0</v>
      </c>
      <c r="AB1379" s="220" t="str">
        <f t="shared" si="197"/>
        <v/>
      </c>
    </row>
    <row r="1380" spans="1:28" s="219" customFormat="1" ht="20.25">
      <c r="A1380" s="174"/>
      <c r="B1380" s="175" t="str">
        <f>IF(LEN(A1380)=0,"",INDEX('Smelter Look-up'!$A:$A,MATCH($A1380,'Smelter Look-up'!$E:$E,0)))</f>
        <v/>
      </c>
      <c r="C1380" s="179" t="str">
        <f>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95"/>
        <v/>
      </c>
      <c r="T1380" s="174" t="str">
        <f ca="1">IF(B1380="","",IF(ISERROR(MATCH($J1380,SorP!$B$1:$B$6279,0)),"",INDIRECT("'SorP'!$A$"&amp;MATCH($S1380&amp;$J1380,SorP!C:C,0))))</f>
        <v/>
      </c>
      <c r="U1380" s="194"/>
      <c r="V1380" s="218" t="e">
        <f>IF(C1380="",NA(),IF(OR(C1380="Smelter not listed",C1380="Smelter not yet identified"),MATCH($B1380&amp;$D1380,'Smelter Look-up'!$J:$J,0),MATCH($B1380&amp;$C1380,'Smelter Look-up'!$J:$J,0)))</f>
        <v>#N/A</v>
      </c>
      <c r="X1380" s="219">
        <f t="shared" ca="1" si="196"/>
        <v>0</v>
      </c>
      <c r="AB1380" s="220" t="str">
        <f t="shared" si="197"/>
        <v/>
      </c>
    </row>
    <row r="1381" spans="1:28" s="219" customFormat="1" ht="20.25">
      <c r="A1381" s="174"/>
      <c r="B1381" s="175" t="str">
        <f>IF(LEN(A1381)=0,"",INDEX('Smelter Look-up'!$A:$A,MATCH($A1381,'Smelter Look-up'!$E:$E,0)))</f>
        <v/>
      </c>
      <c r="C1381" s="179" t="str">
        <f>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95"/>
        <v/>
      </c>
      <c r="T1381" s="174" t="str">
        <f ca="1">IF(B1381="","",IF(ISERROR(MATCH($J1381,SorP!$B$1:$B$6279,0)),"",INDIRECT("'SorP'!$A$"&amp;MATCH($S1381&amp;$J1381,SorP!C:C,0))))</f>
        <v/>
      </c>
      <c r="U1381" s="194"/>
      <c r="V1381" s="218" t="e">
        <f>IF(C1381="",NA(),IF(OR(C1381="Smelter not listed",C1381="Smelter not yet identified"),MATCH($B1381&amp;$D1381,'Smelter Look-up'!$J:$J,0),MATCH($B1381&amp;$C1381,'Smelter Look-up'!$J:$J,0)))</f>
        <v>#N/A</v>
      </c>
      <c r="X1381" s="219">
        <f t="shared" ca="1" si="196"/>
        <v>0</v>
      </c>
      <c r="AB1381" s="220" t="str">
        <f t="shared" si="197"/>
        <v/>
      </c>
    </row>
    <row r="1382" spans="1:28" s="219" customFormat="1" ht="20.25">
      <c r="A1382" s="174"/>
      <c r="B1382" s="175" t="str">
        <f>IF(LEN(A1382)=0,"",INDEX('Smelter Look-up'!$A:$A,MATCH($A1382,'Smelter Look-up'!$E:$E,0)))</f>
        <v/>
      </c>
      <c r="C1382" s="179" t="str">
        <f>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95"/>
        <v/>
      </c>
      <c r="T1382" s="174" t="str">
        <f ca="1">IF(B1382="","",IF(ISERROR(MATCH($J1382,SorP!$B$1:$B$6279,0)),"",INDIRECT("'SorP'!$A$"&amp;MATCH($S1382&amp;$J1382,SorP!C:C,0))))</f>
        <v/>
      </c>
      <c r="U1382" s="194"/>
      <c r="V1382" s="218" t="e">
        <f>IF(C1382="",NA(),IF(OR(C1382="Smelter not listed",C1382="Smelter not yet identified"),MATCH($B1382&amp;$D1382,'Smelter Look-up'!$J:$J,0),MATCH($B1382&amp;$C1382,'Smelter Look-up'!$J:$J,0)))</f>
        <v>#N/A</v>
      </c>
      <c r="X1382" s="219">
        <f t="shared" ca="1" si="196"/>
        <v>0</v>
      </c>
      <c r="AB1382" s="220" t="str">
        <f t="shared" si="197"/>
        <v/>
      </c>
    </row>
    <row r="1383" spans="1:28" s="219" customFormat="1" ht="20.25">
      <c r="A1383" s="174"/>
      <c r="B1383" s="175" t="str">
        <f>IF(LEN(A1383)=0,"",INDEX('Smelter Look-up'!$A:$A,MATCH($A1383,'Smelter Look-up'!$E:$E,0)))</f>
        <v/>
      </c>
      <c r="C1383" s="179" t="str">
        <f>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95"/>
        <v/>
      </c>
      <c r="T1383" s="174" t="str">
        <f ca="1">IF(B1383="","",IF(ISERROR(MATCH($J1383,SorP!$B$1:$B$6279,0)),"",INDIRECT("'SorP'!$A$"&amp;MATCH($S1383&amp;$J1383,SorP!C:C,0))))</f>
        <v/>
      </c>
      <c r="U1383" s="194"/>
      <c r="V1383" s="218" t="e">
        <f>IF(C1383="",NA(),IF(OR(C1383="Smelter not listed",C1383="Smelter not yet identified"),MATCH($B1383&amp;$D1383,'Smelter Look-up'!$J:$J,0),MATCH($B1383&amp;$C1383,'Smelter Look-up'!$J:$J,0)))</f>
        <v>#N/A</v>
      </c>
      <c r="X1383" s="219">
        <f t="shared" ca="1" si="196"/>
        <v>0</v>
      </c>
      <c r="AB1383" s="220" t="str">
        <f t="shared" si="197"/>
        <v/>
      </c>
    </row>
    <row r="1384" spans="1:28" s="219" customFormat="1" ht="20.25">
      <c r="A1384" s="174"/>
      <c r="B1384" s="175" t="str">
        <f>IF(LEN(A1384)=0,"",INDEX('Smelter Look-up'!$A:$A,MATCH($A1384,'Smelter Look-up'!$E:$E,0)))</f>
        <v/>
      </c>
      <c r="C1384" s="179" t="str">
        <f>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95"/>
        <v/>
      </c>
      <c r="T1384" s="174" t="str">
        <f ca="1">IF(B1384="","",IF(ISERROR(MATCH($J1384,SorP!$B$1:$B$6279,0)),"",INDIRECT("'SorP'!$A$"&amp;MATCH($S1384&amp;$J1384,SorP!C:C,0))))</f>
        <v/>
      </c>
      <c r="U1384" s="194"/>
      <c r="V1384" s="218" t="e">
        <f>IF(C1384="",NA(),IF(OR(C1384="Smelter not listed",C1384="Smelter not yet identified"),MATCH($B1384&amp;$D1384,'Smelter Look-up'!$J:$J,0),MATCH($B1384&amp;$C1384,'Smelter Look-up'!$J:$J,0)))</f>
        <v>#N/A</v>
      </c>
      <c r="X1384" s="219">
        <f t="shared" ca="1" si="196"/>
        <v>0</v>
      </c>
      <c r="AB1384" s="220" t="str">
        <f t="shared" si="197"/>
        <v/>
      </c>
    </row>
    <row r="1385" spans="1:28" s="219" customFormat="1" ht="20.25">
      <c r="A1385" s="174"/>
      <c r="B1385" s="175" t="str">
        <f>IF(LEN(A1385)=0,"",INDEX('Smelter Look-up'!$A:$A,MATCH($A1385,'Smelter Look-up'!$E:$E,0)))</f>
        <v/>
      </c>
      <c r="C1385" s="179" t="str">
        <f>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95"/>
        <v/>
      </c>
      <c r="T1385" s="174" t="str">
        <f ca="1">IF(B1385="","",IF(ISERROR(MATCH($J1385,SorP!$B$1:$B$6279,0)),"",INDIRECT("'SorP'!$A$"&amp;MATCH($S1385&amp;$J1385,SorP!C:C,0))))</f>
        <v/>
      </c>
      <c r="U1385" s="194"/>
      <c r="V1385" s="218" t="e">
        <f>IF(C1385="",NA(),IF(OR(C1385="Smelter not listed",C1385="Smelter not yet identified"),MATCH($B1385&amp;$D1385,'Smelter Look-up'!$J:$J,0),MATCH($B1385&amp;$C1385,'Smelter Look-up'!$J:$J,0)))</f>
        <v>#N/A</v>
      </c>
      <c r="X1385" s="219">
        <f t="shared" ca="1" si="196"/>
        <v>0</v>
      </c>
      <c r="AB1385" s="220" t="str">
        <f t="shared" si="197"/>
        <v/>
      </c>
    </row>
    <row r="1386" spans="1:28" s="219" customFormat="1" ht="20.25">
      <c r="A1386" s="174"/>
      <c r="B1386" s="175" t="str">
        <f>IF(LEN(A1386)=0,"",INDEX('Smelter Look-up'!$A:$A,MATCH($A1386,'Smelter Look-up'!$E:$E,0)))</f>
        <v/>
      </c>
      <c r="C1386" s="179" t="str">
        <f>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95"/>
        <v/>
      </c>
      <c r="T1386" s="174" t="str">
        <f ca="1">IF(B1386="","",IF(ISERROR(MATCH($J1386,SorP!$B$1:$B$6279,0)),"",INDIRECT("'SorP'!$A$"&amp;MATCH($S1386&amp;$J1386,SorP!C:C,0))))</f>
        <v/>
      </c>
      <c r="U1386" s="194"/>
      <c r="V1386" s="218" t="e">
        <f>IF(C1386="",NA(),IF(OR(C1386="Smelter not listed",C1386="Smelter not yet identified"),MATCH($B1386&amp;$D1386,'Smelter Look-up'!$J:$J,0),MATCH($B1386&amp;$C1386,'Smelter Look-up'!$J:$J,0)))</f>
        <v>#N/A</v>
      </c>
      <c r="X1386" s="219">
        <f t="shared" ca="1" si="196"/>
        <v>0</v>
      </c>
      <c r="AB1386" s="220" t="str">
        <f t="shared" si="197"/>
        <v/>
      </c>
    </row>
    <row r="1387" spans="1:28" s="219" customFormat="1" ht="20.25">
      <c r="A1387" s="174"/>
      <c r="B1387" s="175" t="str">
        <f>IF(LEN(A1387)=0,"",INDEX('Smelter Look-up'!$A:$A,MATCH($A1387,'Smelter Look-up'!$E:$E,0)))</f>
        <v/>
      </c>
      <c r="C1387" s="179" t="str">
        <f>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95"/>
        <v/>
      </c>
      <c r="T1387" s="174" t="str">
        <f ca="1">IF(B1387="","",IF(ISERROR(MATCH($J1387,SorP!$B$1:$B$6279,0)),"",INDIRECT("'SorP'!$A$"&amp;MATCH($S1387&amp;$J1387,SorP!C:C,0))))</f>
        <v/>
      </c>
      <c r="U1387" s="194"/>
      <c r="V1387" s="218" t="e">
        <f>IF(C1387="",NA(),IF(OR(C1387="Smelter not listed",C1387="Smelter not yet identified"),MATCH($B1387&amp;$D1387,'Smelter Look-up'!$J:$J,0),MATCH($B1387&amp;$C1387,'Smelter Look-up'!$J:$J,0)))</f>
        <v>#N/A</v>
      </c>
      <c r="X1387" s="219">
        <f t="shared" ca="1" si="196"/>
        <v>0</v>
      </c>
      <c r="AB1387" s="220" t="str">
        <f t="shared" si="197"/>
        <v/>
      </c>
    </row>
    <row r="1388" spans="1:28" s="219" customFormat="1" ht="20.25">
      <c r="A1388" s="174"/>
      <c r="B1388" s="175" t="str">
        <f>IF(LEN(A1388)=0,"",INDEX('Smelter Look-up'!$A:$A,MATCH($A1388,'Smelter Look-up'!$E:$E,0)))</f>
        <v/>
      </c>
      <c r="C1388" s="179" t="str">
        <f>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95"/>
        <v/>
      </c>
      <c r="T1388" s="174" t="str">
        <f ca="1">IF(B1388="","",IF(ISERROR(MATCH($J1388,SorP!$B$1:$B$6279,0)),"",INDIRECT("'SorP'!$A$"&amp;MATCH($S1388&amp;$J1388,SorP!C:C,0))))</f>
        <v/>
      </c>
      <c r="U1388" s="194"/>
      <c r="V1388" s="218" t="e">
        <f>IF(C1388="",NA(),IF(OR(C1388="Smelter not listed",C1388="Smelter not yet identified"),MATCH($B1388&amp;$D1388,'Smelter Look-up'!$J:$J,0),MATCH($B1388&amp;$C1388,'Smelter Look-up'!$J:$J,0)))</f>
        <v>#N/A</v>
      </c>
      <c r="X1388" s="219">
        <f t="shared" ca="1" si="196"/>
        <v>0</v>
      </c>
      <c r="AB1388" s="220" t="str">
        <f t="shared" si="197"/>
        <v/>
      </c>
    </row>
    <row r="1389" spans="1:28" s="219" customFormat="1" ht="20.25">
      <c r="A1389" s="174"/>
      <c r="B1389" s="175" t="str">
        <f>IF(LEN(A1389)=0,"",INDEX('Smelter Look-up'!$A:$A,MATCH($A1389,'Smelter Look-up'!$E:$E,0)))</f>
        <v/>
      </c>
      <c r="C1389" s="179" t="str">
        <f>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95"/>
        <v/>
      </c>
      <c r="T1389" s="174" t="str">
        <f ca="1">IF(B1389="","",IF(ISERROR(MATCH($J1389,SorP!$B$1:$B$6279,0)),"",INDIRECT("'SorP'!$A$"&amp;MATCH($S1389&amp;$J1389,SorP!C:C,0))))</f>
        <v/>
      </c>
      <c r="U1389" s="194"/>
      <c r="V1389" s="218" t="e">
        <f>IF(C1389="",NA(),IF(OR(C1389="Smelter not listed",C1389="Smelter not yet identified"),MATCH($B1389&amp;$D1389,'Smelter Look-up'!$J:$J,0),MATCH($B1389&amp;$C1389,'Smelter Look-up'!$J:$J,0)))</f>
        <v>#N/A</v>
      </c>
      <c r="X1389" s="219">
        <f t="shared" ca="1" si="196"/>
        <v>0</v>
      </c>
      <c r="AB1389" s="220" t="str">
        <f t="shared" si="197"/>
        <v/>
      </c>
    </row>
    <row r="1390" spans="1:28" s="219" customFormat="1" ht="20.25">
      <c r="A1390" s="174"/>
      <c r="B1390" s="175" t="str">
        <f>IF(LEN(A1390)=0,"",INDEX('Smelter Look-up'!$A:$A,MATCH($A1390,'Smelter Look-up'!$E:$E,0)))</f>
        <v/>
      </c>
      <c r="C1390" s="179" t="str">
        <f>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95"/>
        <v/>
      </c>
      <c r="T1390" s="174" t="str">
        <f ca="1">IF(B1390="","",IF(ISERROR(MATCH($J1390,SorP!$B$1:$B$6279,0)),"",INDIRECT("'SorP'!$A$"&amp;MATCH($S1390&amp;$J1390,SorP!C:C,0))))</f>
        <v/>
      </c>
      <c r="U1390" s="194"/>
      <c r="V1390" s="218" t="e">
        <f>IF(C1390="",NA(),IF(OR(C1390="Smelter not listed",C1390="Smelter not yet identified"),MATCH($B1390&amp;$D1390,'Smelter Look-up'!$J:$J,0),MATCH($B1390&amp;$C1390,'Smelter Look-up'!$J:$J,0)))</f>
        <v>#N/A</v>
      </c>
      <c r="X1390" s="219">
        <f t="shared" ca="1" si="196"/>
        <v>0</v>
      </c>
      <c r="AB1390" s="220" t="str">
        <f t="shared" si="197"/>
        <v/>
      </c>
    </row>
    <row r="1391" spans="1:28" s="219" customFormat="1" ht="20.25">
      <c r="A1391" s="174"/>
      <c r="B1391" s="175" t="str">
        <f>IF(LEN(A1391)=0,"",INDEX('Smelter Look-up'!$A:$A,MATCH($A1391,'Smelter Look-up'!$E:$E,0)))</f>
        <v/>
      </c>
      <c r="C1391" s="179" t="str">
        <f>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95"/>
        <v/>
      </c>
      <c r="T1391" s="174" t="str">
        <f ca="1">IF(B1391="","",IF(ISERROR(MATCH($J1391,SorP!$B$1:$B$6279,0)),"",INDIRECT("'SorP'!$A$"&amp;MATCH($S1391&amp;$J1391,SorP!C:C,0))))</f>
        <v/>
      </c>
      <c r="U1391" s="194"/>
      <c r="V1391" s="218" t="e">
        <f>IF(C1391="",NA(),IF(OR(C1391="Smelter not listed",C1391="Smelter not yet identified"),MATCH($B1391&amp;$D1391,'Smelter Look-up'!$J:$J,0),MATCH($B1391&amp;$C1391,'Smelter Look-up'!$J:$J,0)))</f>
        <v>#N/A</v>
      </c>
      <c r="X1391" s="219">
        <f t="shared" ca="1" si="196"/>
        <v>0</v>
      </c>
      <c r="AB1391" s="220" t="str">
        <f t="shared" si="197"/>
        <v/>
      </c>
    </row>
    <row r="1392" spans="1:28" s="219" customFormat="1" ht="20.25">
      <c r="A1392" s="174"/>
      <c r="B1392" s="175" t="str">
        <f>IF(LEN(A1392)=0,"",INDEX('Smelter Look-up'!$A:$A,MATCH($A1392,'Smelter Look-up'!$E:$E,0)))</f>
        <v/>
      </c>
      <c r="C1392" s="179" t="str">
        <f>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95"/>
        <v/>
      </c>
      <c r="T1392" s="174" t="str">
        <f ca="1">IF(B1392="","",IF(ISERROR(MATCH($J1392,SorP!$B$1:$B$6279,0)),"",INDIRECT("'SorP'!$A$"&amp;MATCH($S1392&amp;$J1392,SorP!C:C,0))))</f>
        <v/>
      </c>
      <c r="U1392" s="194"/>
      <c r="V1392" s="218" t="e">
        <f>IF(C1392="",NA(),IF(OR(C1392="Smelter not listed",C1392="Smelter not yet identified"),MATCH($B1392&amp;$D1392,'Smelter Look-up'!$J:$J,0),MATCH($B1392&amp;$C1392,'Smelter Look-up'!$J:$J,0)))</f>
        <v>#N/A</v>
      </c>
      <c r="X1392" s="219">
        <f t="shared" ca="1" si="196"/>
        <v>0</v>
      </c>
      <c r="AB1392" s="220" t="str">
        <f t="shared" si="197"/>
        <v/>
      </c>
    </row>
    <row r="1393" spans="1:28" s="219" customFormat="1" ht="20.25">
      <c r="A1393" s="174"/>
      <c r="B1393" s="175" t="str">
        <f>IF(LEN(A1393)=0,"",INDEX('Smelter Look-up'!$A:$A,MATCH($A1393,'Smelter Look-up'!$E:$E,0)))</f>
        <v/>
      </c>
      <c r="C1393" s="179" t="str">
        <f>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95"/>
        <v/>
      </c>
      <c r="T1393" s="174" t="str">
        <f ca="1">IF(B1393="","",IF(ISERROR(MATCH($J1393,SorP!$B$1:$B$6279,0)),"",INDIRECT("'SorP'!$A$"&amp;MATCH($S1393&amp;$J1393,SorP!C:C,0))))</f>
        <v/>
      </c>
      <c r="U1393" s="194"/>
      <c r="V1393" s="218" t="e">
        <f>IF(C1393="",NA(),IF(OR(C1393="Smelter not listed",C1393="Smelter not yet identified"),MATCH($B1393&amp;$D1393,'Smelter Look-up'!$J:$J,0),MATCH($B1393&amp;$C1393,'Smelter Look-up'!$J:$J,0)))</f>
        <v>#N/A</v>
      </c>
      <c r="X1393" s="219">
        <f t="shared" ca="1" si="196"/>
        <v>0</v>
      </c>
      <c r="AB1393" s="220" t="str">
        <f t="shared" si="197"/>
        <v/>
      </c>
    </row>
    <row r="1394" spans="1:28" s="219" customFormat="1" ht="20.25">
      <c r="A1394" s="174"/>
      <c r="B1394" s="175" t="str">
        <f>IF(LEN(A1394)=0,"",INDEX('Smelter Look-up'!$A:$A,MATCH($A1394,'Smelter Look-up'!$E:$E,0)))</f>
        <v/>
      </c>
      <c r="C1394" s="179" t="str">
        <f>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95"/>
        <v/>
      </c>
      <c r="T1394" s="174" t="str">
        <f ca="1">IF(B1394="","",IF(ISERROR(MATCH($J1394,SorP!$B$1:$B$6279,0)),"",INDIRECT("'SorP'!$A$"&amp;MATCH($S1394&amp;$J1394,SorP!C:C,0))))</f>
        <v/>
      </c>
      <c r="U1394" s="194"/>
      <c r="V1394" s="218" t="e">
        <f>IF(C1394="",NA(),IF(OR(C1394="Smelter not listed",C1394="Smelter not yet identified"),MATCH($B1394&amp;$D1394,'Smelter Look-up'!$J:$J,0),MATCH($B1394&amp;$C1394,'Smelter Look-up'!$J:$J,0)))</f>
        <v>#N/A</v>
      </c>
      <c r="X1394" s="219">
        <f t="shared" ca="1" si="196"/>
        <v>0</v>
      </c>
      <c r="AB1394" s="220" t="str">
        <f t="shared" si="197"/>
        <v/>
      </c>
    </row>
    <row r="1395" spans="1:28" s="219" customFormat="1" ht="20.25">
      <c r="A1395" s="174"/>
      <c r="B1395" s="175" t="str">
        <f>IF(LEN(A1395)=0,"",INDEX('Smelter Look-up'!$A:$A,MATCH($A1395,'Smelter Look-up'!$E:$E,0)))</f>
        <v/>
      </c>
      <c r="C1395" s="179" t="str">
        <f>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95"/>
        <v/>
      </c>
      <c r="T1395" s="174" t="str">
        <f ca="1">IF(B1395="","",IF(ISERROR(MATCH($J1395,SorP!$B$1:$B$6279,0)),"",INDIRECT("'SorP'!$A$"&amp;MATCH($S1395&amp;$J1395,SorP!C:C,0))))</f>
        <v/>
      </c>
      <c r="U1395" s="194"/>
      <c r="V1395" s="218" t="e">
        <f>IF(C1395="",NA(),IF(OR(C1395="Smelter not listed",C1395="Smelter not yet identified"),MATCH($B1395&amp;$D1395,'Smelter Look-up'!$J:$J,0),MATCH($B1395&amp;$C1395,'Smelter Look-up'!$J:$J,0)))</f>
        <v>#N/A</v>
      </c>
      <c r="X1395" s="219">
        <f t="shared" ca="1" si="196"/>
        <v>0</v>
      </c>
      <c r="AB1395" s="220" t="str">
        <f t="shared" si="197"/>
        <v/>
      </c>
    </row>
    <row r="1396" spans="1:28" s="219" customFormat="1" ht="20.25">
      <c r="A1396" s="174"/>
      <c r="B1396" s="175" t="str">
        <f>IF(LEN(A1396)=0,"",INDEX('Smelter Look-up'!$A:$A,MATCH($A1396,'Smelter Look-up'!$E:$E,0)))</f>
        <v/>
      </c>
      <c r="C1396" s="179" t="str">
        <f>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95"/>
        <v/>
      </c>
      <c r="T1396" s="174" t="str">
        <f ca="1">IF(B1396="","",IF(ISERROR(MATCH($J1396,SorP!$B$1:$B$6279,0)),"",INDIRECT("'SorP'!$A$"&amp;MATCH($S1396&amp;$J1396,SorP!C:C,0))))</f>
        <v/>
      </c>
      <c r="U1396" s="194"/>
      <c r="V1396" s="218" t="e">
        <f>IF(C1396="",NA(),IF(OR(C1396="Smelter not listed",C1396="Smelter not yet identified"),MATCH($B1396&amp;$D1396,'Smelter Look-up'!$J:$J,0),MATCH($B1396&amp;$C1396,'Smelter Look-up'!$J:$J,0)))</f>
        <v>#N/A</v>
      </c>
      <c r="X1396" s="219">
        <f t="shared" ca="1" si="196"/>
        <v>0</v>
      </c>
      <c r="AB1396" s="220" t="str">
        <f t="shared" si="197"/>
        <v/>
      </c>
    </row>
    <row r="1397" spans="1:28" s="219" customFormat="1" ht="20.25">
      <c r="A1397" s="174"/>
      <c r="B1397" s="175" t="str">
        <f>IF(LEN(A1397)=0,"",INDEX('Smelter Look-up'!$A:$A,MATCH($A1397,'Smelter Look-up'!$E:$E,0)))</f>
        <v/>
      </c>
      <c r="C1397" s="179" t="str">
        <f>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95"/>
        <v/>
      </c>
      <c r="T1397" s="174" t="str">
        <f ca="1">IF(B1397="","",IF(ISERROR(MATCH($J1397,SorP!$B$1:$B$6279,0)),"",INDIRECT("'SorP'!$A$"&amp;MATCH($S1397&amp;$J1397,SorP!C:C,0))))</f>
        <v/>
      </c>
      <c r="U1397" s="194"/>
      <c r="V1397" s="218" t="e">
        <f>IF(C1397="",NA(),IF(OR(C1397="Smelter not listed",C1397="Smelter not yet identified"),MATCH($B1397&amp;$D1397,'Smelter Look-up'!$J:$J,0),MATCH($B1397&amp;$C1397,'Smelter Look-up'!$J:$J,0)))</f>
        <v>#N/A</v>
      </c>
      <c r="X1397" s="219">
        <f t="shared" ca="1" si="196"/>
        <v>0</v>
      </c>
      <c r="AB1397" s="220" t="str">
        <f t="shared" si="197"/>
        <v/>
      </c>
    </row>
    <row r="1398" spans="1:28" s="219" customFormat="1" ht="20.25">
      <c r="A1398" s="174"/>
      <c r="B1398" s="175" t="str">
        <f>IF(LEN(A1398)=0,"",INDEX('Smelter Look-up'!$A:$A,MATCH($A1398,'Smelter Look-up'!$E:$E,0)))</f>
        <v/>
      </c>
      <c r="C1398" s="179" t="str">
        <f>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95"/>
        <v/>
      </c>
      <c r="T1398" s="174" t="str">
        <f ca="1">IF(B1398="","",IF(ISERROR(MATCH($J1398,SorP!$B$1:$B$6279,0)),"",INDIRECT("'SorP'!$A$"&amp;MATCH($S1398&amp;$J1398,SorP!C:C,0))))</f>
        <v/>
      </c>
      <c r="U1398" s="194"/>
      <c r="V1398" s="218" t="e">
        <f>IF(C1398="",NA(),IF(OR(C1398="Smelter not listed",C1398="Smelter not yet identified"),MATCH($B1398&amp;$D1398,'Smelter Look-up'!$J:$J,0),MATCH($B1398&amp;$C1398,'Smelter Look-up'!$J:$J,0)))</f>
        <v>#N/A</v>
      </c>
      <c r="X1398" s="219">
        <f t="shared" ca="1" si="196"/>
        <v>0</v>
      </c>
      <c r="AB1398" s="220" t="str">
        <f t="shared" si="197"/>
        <v/>
      </c>
    </row>
    <row r="1399" spans="1:28" s="219" customFormat="1" ht="20.25">
      <c r="A1399" s="174"/>
      <c r="B1399" s="175" t="str">
        <f>IF(LEN(A1399)=0,"",INDEX('Smelter Look-up'!$A:$A,MATCH($A1399,'Smelter Look-up'!$E:$E,0)))</f>
        <v/>
      </c>
      <c r="C1399" s="179" t="str">
        <f>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95"/>
        <v/>
      </c>
      <c r="T1399" s="174" t="str">
        <f ca="1">IF(B1399="","",IF(ISERROR(MATCH($J1399,SorP!$B$1:$B$6279,0)),"",INDIRECT("'SorP'!$A$"&amp;MATCH($S1399&amp;$J1399,SorP!C:C,0))))</f>
        <v/>
      </c>
      <c r="U1399" s="194"/>
      <c r="V1399" s="218" t="e">
        <f>IF(C1399="",NA(),IF(OR(C1399="Smelter not listed",C1399="Smelter not yet identified"),MATCH($B1399&amp;$D1399,'Smelter Look-up'!$J:$J,0),MATCH($B1399&amp;$C1399,'Smelter Look-up'!$J:$J,0)))</f>
        <v>#N/A</v>
      </c>
      <c r="X1399" s="219">
        <f t="shared" ca="1" si="196"/>
        <v>0</v>
      </c>
      <c r="AB1399" s="220" t="str">
        <f t="shared" si="197"/>
        <v/>
      </c>
    </row>
    <row r="1400" spans="1:28" s="219" customFormat="1" ht="20.25">
      <c r="A1400" s="174"/>
      <c r="B1400" s="175" t="str">
        <f>IF(LEN(A1400)=0,"",INDEX('Smelter Look-up'!$A:$A,MATCH($A1400,'Smelter Look-up'!$E:$E,0)))</f>
        <v/>
      </c>
      <c r="C1400" s="179" t="str">
        <f>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95"/>
        <v/>
      </c>
      <c r="T1400" s="174" t="str">
        <f ca="1">IF(B1400="","",IF(ISERROR(MATCH($J1400,SorP!$B$1:$B$6279,0)),"",INDIRECT("'SorP'!$A$"&amp;MATCH($S1400&amp;$J1400,SorP!C:C,0))))</f>
        <v/>
      </c>
      <c r="U1400" s="194"/>
      <c r="V1400" s="218" t="e">
        <f>IF(C1400="",NA(),IF(OR(C1400="Smelter not listed",C1400="Smelter not yet identified"),MATCH($B1400&amp;$D1400,'Smelter Look-up'!$J:$J,0),MATCH($B1400&amp;$C1400,'Smelter Look-up'!$J:$J,0)))</f>
        <v>#N/A</v>
      </c>
      <c r="X1400" s="219">
        <f t="shared" ca="1" si="196"/>
        <v>0</v>
      </c>
      <c r="AB1400" s="220" t="str">
        <f t="shared" si="197"/>
        <v/>
      </c>
    </row>
    <row r="1401" spans="1:28" s="219" customFormat="1" ht="20.25">
      <c r="A1401" s="174"/>
      <c r="B1401" s="175" t="str">
        <f>IF(LEN(A1401)=0,"",INDEX('Smelter Look-up'!$A:$A,MATCH($A1401,'Smelter Look-up'!$E:$E,0)))</f>
        <v/>
      </c>
      <c r="C1401" s="179" t="str">
        <f>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195"/>
        <v/>
      </c>
      <c r="T1401" s="174" t="str">
        <f ca="1">IF(B1401="","",IF(ISERROR(MATCH($J1401,SorP!$B$1:$B$6279,0)),"",INDIRECT("'SorP'!$A$"&amp;MATCH($S1401&amp;$J1401,SorP!C:C,0))))</f>
        <v/>
      </c>
      <c r="U1401" s="194"/>
      <c r="V1401" s="218" t="e">
        <f>IF(C1401="",NA(),IF(OR(C1401="Smelter not listed",C1401="Smelter not yet identified"),MATCH($B1401&amp;$D1401,'Smelter Look-up'!$J:$J,0),MATCH($B1401&amp;$C1401,'Smelter Look-up'!$J:$J,0)))</f>
        <v>#N/A</v>
      </c>
      <c r="X1401" s="219">
        <f t="shared" ca="1" si="196"/>
        <v>0</v>
      </c>
      <c r="AB1401" s="220" t="str">
        <f t="shared" si="197"/>
        <v/>
      </c>
    </row>
    <row r="1402" spans="1:28" s="219" customFormat="1" ht="20.25">
      <c r="A1402" s="174"/>
      <c r="B1402" s="175" t="str">
        <f>IF(LEN(A1402)=0,"",INDEX('Smelter Look-up'!$A:$A,MATCH($A1402,'Smelter Look-up'!$E:$E,0)))</f>
        <v/>
      </c>
      <c r="C1402" s="179" t="str">
        <f>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ca="1" si="195"/>
        <v/>
      </c>
      <c r="T1402" s="174" t="str">
        <f ca="1">IF(B1402="","",IF(ISERROR(MATCH($J1402,SorP!$B$1:$B$6279,0)),"",INDIRECT("'SorP'!$A$"&amp;MATCH($S1402&amp;$J1402,SorP!C:C,0))))</f>
        <v/>
      </c>
      <c r="U1402" s="194"/>
      <c r="V1402" s="218" t="e">
        <f>IF(C1402="",NA(),IF(OR(C1402="Smelter not listed",C1402="Smelter not yet identified"),MATCH($B1402&amp;$D1402,'Smelter Look-up'!$J:$J,0),MATCH($B1402&amp;$C1402,'Smelter Look-up'!$J:$J,0)))</f>
        <v>#N/A</v>
      </c>
      <c r="X1402" s="219">
        <f t="shared" ca="1" si="196"/>
        <v>0</v>
      </c>
      <c r="AB1402" s="220" t="str">
        <f t="shared" si="197"/>
        <v/>
      </c>
    </row>
    <row r="1403" spans="1:28" s="219" customFormat="1" ht="20.25">
      <c r="A1403" s="174"/>
      <c r="B1403" s="175" t="str">
        <f>IF(LEN(A1403)=0,"",INDEX('Smelter Look-up'!$A:$A,MATCH($A1403,'Smelter Look-up'!$E:$E,0)))</f>
        <v/>
      </c>
      <c r="C1403" s="179" t="str">
        <f>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ref="S1403" ca="1" si="198">IF(B1403="","",IF(ISERROR(MATCH($E1403,CL,0)),"Unknown",INDIRECT("'C'!$A$"&amp;MATCH($E1403,CL,0)+1)))</f>
        <v/>
      </c>
      <c r="T1403" s="174" t="str">
        <f ca="1">IF(B1403="","",IF(ISERROR(MATCH($J1403,SorP!$B$1:$B$6279,0)),"",INDIRECT("'SorP'!$A$"&amp;MATCH($S1403&amp;$J1403,SorP!C:C,0))))</f>
        <v/>
      </c>
      <c r="U1403" s="194"/>
      <c r="V1403" s="218" t="e">
        <f>IF(C1403="",NA(),IF(OR(C1403="Smelter not listed",C1403="Smelter not yet identified"),MATCH($B1403&amp;$D1403,'Smelter Look-up'!$J:$J,0),MATCH($B1403&amp;$C1403,'Smelter Look-up'!$J:$J,0)))</f>
        <v>#N/A</v>
      </c>
      <c r="X1403" s="219">
        <f t="shared" ref="X1403" ca="1" si="199">IF(AND(C1403="Smelter not listed",OR(LEN(D1403)=0,LEN(E1403)=0)),1,0)</f>
        <v>0</v>
      </c>
      <c r="AB1403" s="220" t="str">
        <f t="shared" ref="AB1403" si="200">B1403&amp;C1403</f>
        <v/>
      </c>
    </row>
    <row r="1404" spans="1:28" s="219" customFormat="1" ht="20.25">
      <c r="A1404" s="174"/>
      <c r="B1404" s="175" t="str">
        <f>IF(LEN(A1404)=0,"",INDEX('Smelter Look-up'!$A:$A,MATCH($A1404,'Smelter Look-up'!$E:$E,0)))</f>
        <v/>
      </c>
      <c r="C1404" s="179" t="str">
        <f>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ref="S1404:S1435" ca="1" si="201">IF(B1404="","",IF(ISERROR(MATCH($E1404,CL,0)),"Unknown",INDIRECT("'C'!$A$"&amp;MATCH($E1404,CL,0)+1)))</f>
        <v/>
      </c>
      <c r="T1404" s="174" t="str">
        <f ca="1">IF(B1404="","",IF(ISERROR(MATCH($J1404,SorP!$B$1:$B$6279,0)),"",INDIRECT("'SorP'!$A$"&amp;MATCH($S1404&amp;$J1404,SorP!C:C,0))))</f>
        <v/>
      </c>
      <c r="U1404" s="194"/>
      <c r="V1404" s="218" t="e">
        <f>IF(C1404="",NA(),IF(OR(C1404="Smelter not listed",C1404="Smelter not yet identified"),MATCH($B1404&amp;$D1404,'Smelter Look-up'!$J:$J,0),MATCH($B1404&amp;$C1404,'Smelter Look-up'!$J:$J,0)))</f>
        <v>#N/A</v>
      </c>
      <c r="X1404" s="219">
        <f t="shared" ref="X1404:X1435" ca="1" si="202">IF(AND(C1404="Smelter not listed",OR(LEN(D1404)=0,LEN(E1404)=0)),1,0)</f>
        <v>0</v>
      </c>
      <c r="AB1404" s="220" t="str">
        <f t="shared" ref="AB1404:AB1435" si="203">B1404&amp;C1404</f>
        <v/>
      </c>
    </row>
    <row r="1405" spans="1:28" s="219" customFormat="1" ht="20.25">
      <c r="A1405" s="174"/>
      <c r="B1405" s="175" t="str">
        <f>IF(LEN(A1405)=0,"",INDEX('Smelter Look-up'!$A:$A,MATCH($A1405,'Smelter Look-up'!$E:$E,0)))</f>
        <v/>
      </c>
      <c r="C1405" s="179" t="str">
        <f>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01"/>
        <v/>
      </c>
      <c r="T1405" s="174" t="str">
        <f ca="1">IF(B1405="","",IF(ISERROR(MATCH($J1405,SorP!$B$1:$B$6279,0)),"",INDIRECT("'SorP'!$A$"&amp;MATCH($S1405&amp;$J1405,SorP!C:C,0))))</f>
        <v/>
      </c>
      <c r="U1405" s="194"/>
      <c r="V1405" s="218" t="e">
        <f>IF(C1405="",NA(),IF(OR(C1405="Smelter not listed",C1405="Smelter not yet identified"),MATCH($B1405&amp;$D1405,'Smelter Look-up'!$J:$J,0),MATCH($B1405&amp;$C1405,'Smelter Look-up'!$J:$J,0)))</f>
        <v>#N/A</v>
      </c>
      <c r="X1405" s="219">
        <f t="shared" ca="1" si="202"/>
        <v>0</v>
      </c>
      <c r="AB1405" s="220" t="str">
        <f t="shared" si="203"/>
        <v/>
      </c>
    </row>
    <row r="1406" spans="1:28" s="219" customFormat="1" ht="20.25">
      <c r="A1406" s="174"/>
      <c r="B1406" s="175" t="str">
        <f>IF(LEN(A1406)=0,"",INDEX('Smelter Look-up'!$A:$A,MATCH($A1406,'Smelter Look-up'!$E:$E,0)))</f>
        <v/>
      </c>
      <c r="C1406" s="179" t="str">
        <f>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01"/>
        <v/>
      </c>
      <c r="T1406" s="174" t="str">
        <f ca="1">IF(B1406="","",IF(ISERROR(MATCH($J1406,SorP!$B$1:$B$6279,0)),"",INDIRECT("'SorP'!$A$"&amp;MATCH($S1406&amp;$J1406,SorP!C:C,0))))</f>
        <v/>
      </c>
      <c r="U1406" s="194"/>
      <c r="V1406" s="218" t="e">
        <f>IF(C1406="",NA(),IF(OR(C1406="Smelter not listed",C1406="Smelter not yet identified"),MATCH($B1406&amp;$D1406,'Smelter Look-up'!$J:$J,0),MATCH($B1406&amp;$C1406,'Smelter Look-up'!$J:$J,0)))</f>
        <v>#N/A</v>
      </c>
      <c r="X1406" s="219">
        <f t="shared" ca="1" si="202"/>
        <v>0</v>
      </c>
      <c r="AB1406" s="220" t="str">
        <f t="shared" si="203"/>
        <v/>
      </c>
    </row>
    <row r="1407" spans="1:28" s="219" customFormat="1" ht="20.25">
      <c r="A1407" s="174"/>
      <c r="B1407" s="175" t="str">
        <f>IF(LEN(A1407)=0,"",INDEX('Smelter Look-up'!$A:$A,MATCH($A1407,'Smelter Look-up'!$E:$E,0)))</f>
        <v/>
      </c>
      <c r="C1407" s="179" t="str">
        <f>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01"/>
        <v/>
      </c>
      <c r="T1407" s="174" t="str">
        <f ca="1">IF(B1407="","",IF(ISERROR(MATCH($J1407,SorP!$B$1:$B$6279,0)),"",INDIRECT("'SorP'!$A$"&amp;MATCH($S1407&amp;$J1407,SorP!C:C,0))))</f>
        <v/>
      </c>
      <c r="U1407" s="194"/>
      <c r="V1407" s="218" t="e">
        <f>IF(C1407="",NA(),IF(OR(C1407="Smelter not listed",C1407="Smelter not yet identified"),MATCH($B1407&amp;$D1407,'Smelter Look-up'!$J:$J,0),MATCH($B1407&amp;$C1407,'Smelter Look-up'!$J:$J,0)))</f>
        <v>#N/A</v>
      </c>
      <c r="X1407" s="219">
        <f t="shared" ca="1" si="202"/>
        <v>0</v>
      </c>
      <c r="AB1407" s="220" t="str">
        <f t="shared" si="203"/>
        <v/>
      </c>
    </row>
    <row r="1408" spans="1:28" s="219" customFormat="1" ht="20.25">
      <c r="A1408" s="174"/>
      <c r="B1408" s="175" t="str">
        <f>IF(LEN(A1408)=0,"",INDEX('Smelter Look-up'!$A:$A,MATCH($A1408,'Smelter Look-up'!$E:$E,0)))</f>
        <v/>
      </c>
      <c r="C1408" s="179" t="str">
        <f>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01"/>
        <v/>
      </c>
      <c r="T1408" s="174" t="str">
        <f ca="1">IF(B1408="","",IF(ISERROR(MATCH($J1408,SorP!$B$1:$B$6279,0)),"",INDIRECT("'SorP'!$A$"&amp;MATCH($S1408&amp;$J1408,SorP!C:C,0))))</f>
        <v/>
      </c>
      <c r="U1408" s="194"/>
      <c r="V1408" s="218" t="e">
        <f>IF(C1408="",NA(),IF(OR(C1408="Smelter not listed",C1408="Smelter not yet identified"),MATCH($B1408&amp;$D1408,'Smelter Look-up'!$J:$J,0),MATCH($B1408&amp;$C1408,'Smelter Look-up'!$J:$J,0)))</f>
        <v>#N/A</v>
      </c>
      <c r="X1408" s="219">
        <f t="shared" ca="1" si="202"/>
        <v>0</v>
      </c>
      <c r="AB1408" s="220" t="str">
        <f t="shared" si="203"/>
        <v/>
      </c>
    </row>
    <row r="1409" spans="1:28" s="219" customFormat="1" ht="20.25">
      <c r="A1409" s="174"/>
      <c r="B1409" s="175" t="str">
        <f>IF(LEN(A1409)=0,"",INDEX('Smelter Look-up'!$A:$A,MATCH($A1409,'Smelter Look-up'!$E:$E,0)))</f>
        <v/>
      </c>
      <c r="C1409" s="179" t="str">
        <f>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01"/>
        <v/>
      </c>
      <c r="T1409" s="174" t="str">
        <f ca="1">IF(B1409="","",IF(ISERROR(MATCH($J1409,SorP!$B$1:$B$6279,0)),"",INDIRECT("'SorP'!$A$"&amp;MATCH($S1409&amp;$J1409,SorP!C:C,0))))</f>
        <v/>
      </c>
      <c r="U1409" s="194"/>
      <c r="V1409" s="218" t="e">
        <f>IF(C1409="",NA(),IF(OR(C1409="Smelter not listed",C1409="Smelter not yet identified"),MATCH($B1409&amp;$D1409,'Smelter Look-up'!$J:$J,0),MATCH($B1409&amp;$C1409,'Smelter Look-up'!$J:$J,0)))</f>
        <v>#N/A</v>
      </c>
      <c r="X1409" s="219">
        <f t="shared" ca="1" si="202"/>
        <v>0</v>
      </c>
      <c r="AB1409" s="220" t="str">
        <f t="shared" si="203"/>
        <v/>
      </c>
    </row>
    <row r="1410" spans="1:28" s="219" customFormat="1" ht="20.25">
      <c r="A1410" s="174"/>
      <c r="B1410" s="175" t="str">
        <f>IF(LEN(A1410)=0,"",INDEX('Smelter Look-up'!$A:$A,MATCH($A1410,'Smelter Look-up'!$E:$E,0)))</f>
        <v/>
      </c>
      <c r="C1410" s="179" t="str">
        <f>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01"/>
        <v/>
      </c>
      <c r="T1410" s="174" t="str">
        <f ca="1">IF(B1410="","",IF(ISERROR(MATCH($J1410,SorP!$B$1:$B$6279,0)),"",INDIRECT("'SorP'!$A$"&amp;MATCH($S1410&amp;$J1410,SorP!C:C,0))))</f>
        <v/>
      </c>
      <c r="U1410" s="194"/>
      <c r="V1410" s="218" t="e">
        <f>IF(C1410="",NA(),IF(OR(C1410="Smelter not listed",C1410="Smelter not yet identified"),MATCH($B1410&amp;$D1410,'Smelter Look-up'!$J:$J,0),MATCH($B1410&amp;$C1410,'Smelter Look-up'!$J:$J,0)))</f>
        <v>#N/A</v>
      </c>
      <c r="X1410" s="219">
        <f t="shared" ca="1" si="202"/>
        <v>0</v>
      </c>
      <c r="AB1410" s="220" t="str">
        <f t="shared" si="203"/>
        <v/>
      </c>
    </row>
    <row r="1411" spans="1:28" s="219" customFormat="1" ht="20.25">
      <c r="A1411" s="174"/>
      <c r="B1411" s="175" t="str">
        <f>IF(LEN(A1411)=0,"",INDEX('Smelter Look-up'!$A:$A,MATCH($A1411,'Smelter Look-up'!$E:$E,0)))</f>
        <v/>
      </c>
      <c r="C1411" s="179" t="str">
        <f>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01"/>
        <v/>
      </c>
      <c r="T1411" s="174" t="str">
        <f ca="1">IF(B1411="","",IF(ISERROR(MATCH($J1411,SorP!$B$1:$B$6279,0)),"",INDIRECT("'SorP'!$A$"&amp;MATCH($S1411&amp;$J1411,SorP!C:C,0))))</f>
        <v/>
      </c>
      <c r="U1411" s="194"/>
      <c r="V1411" s="218" t="e">
        <f>IF(C1411="",NA(),IF(OR(C1411="Smelter not listed",C1411="Smelter not yet identified"),MATCH($B1411&amp;$D1411,'Smelter Look-up'!$J:$J,0),MATCH($B1411&amp;$C1411,'Smelter Look-up'!$J:$J,0)))</f>
        <v>#N/A</v>
      </c>
      <c r="X1411" s="219">
        <f t="shared" ca="1" si="202"/>
        <v>0</v>
      </c>
      <c r="AB1411" s="220" t="str">
        <f t="shared" si="203"/>
        <v/>
      </c>
    </row>
    <row r="1412" spans="1:28" s="219" customFormat="1" ht="20.25">
      <c r="A1412" s="174"/>
      <c r="B1412" s="175" t="str">
        <f>IF(LEN(A1412)=0,"",INDEX('Smelter Look-up'!$A:$A,MATCH($A1412,'Smelter Look-up'!$E:$E,0)))</f>
        <v/>
      </c>
      <c r="C1412" s="179" t="str">
        <f>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01"/>
        <v/>
      </c>
      <c r="T1412" s="174" t="str">
        <f ca="1">IF(B1412="","",IF(ISERROR(MATCH($J1412,SorP!$B$1:$B$6279,0)),"",INDIRECT("'SorP'!$A$"&amp;MATCH($S1412&amp;$J1412,SorP!C:C,0))))</f>
        <v/>
      </c>
      <c r="U1412" s="194"/>
      <c r="V1412" s="218" t="e">
        <f>IF(C1412="",NA(),IF(OR(C1412="Smelter not listed",C1412="Smelter not yet identified"),MATCH($B1412&amp;$D1412,'Smelter Look-up'!$J:$J,0),MATCH($B1412&amp;$C1412,'Smelter Look-up'!$J:$J,0)))</f>
        <v>#N/A</v>
      </c>
      <c r="X1412" s="219">
        <f t="shared" ca="1" si="202"/>
        <v>0</v>
      </c>
      <c r="AB1412" s="220" t="str">
        <f t="shared" si="203"/>
        <v/>
      </c>
    </row>
    <row r="1413" spans="1:28" s="219" customFormat="1" ht="20.25">
      <c r="A1413" s="174"/>
      <c r="B1413" s="175" t="str">
        <f>IF(LEN(A1413)=0,"",INDEX('Smelter Look-up'!$A:$A,MATCH($A1413,'Smelter Look-up'!$E:$E,0)))</f>
        <v/>
      </c>
      <c r="C1413" s="179" t="str">
        <f>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01"/>
        <v/>
      </c>
      <c r="T1413" s="174" t="str">
        <f ca="1">IF(B1413="","",IF(ISERROR(MATCH($J1413,SorP!$B$1:$B$6279,0)),"",INDIRECT("'SorP'!$A$"&amp;MATCH($S1413&amp;$J1413,SorP!C:C,0))))</f>
        <v/>
      </c>
      <c r="U1413" s="194"/>
      <c r="V1413" s="218" t="e">
        <f>IF(C1413="",NA(),IF(OR(C1413="Smelter not listed",C1413="Smelter not yet identified"),MATCH($B1413&amp;$D1413,'Smelter Look-up'!$J:$J,0),MATCH($B1413&amp;$C1413,'Smelter Look-up'!$J:$J,0)))</f>
        <v>#N/A</v>
      </c>
      <c r="X1413" s="219">
        <f t="shared" ca="1" si="202"/>
        <v>0</v>
      </c>
      <c r="AB1413" s="220" t="str">
        <f t="shared" si="203"/>
        <v/>
      </c>
    </row>
    <row r="1414" spans="1:28" s="219" customFormat="1" ht="20.25">
      <c r="A1414" s="174"/>
      <c r="B1414" s="175" t="str">
        <f>IF(LEN(A1414)=0,"",INDEX('Smelter Look-up'!$A:$A,MATCH($A1414,'Smelter Look-up'!$E:$E,0)))</f>
        <v/>
      </c>
      <c r="C1414" s="179" t="str">
        <f>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01"/>
        <v/>
      </c>
      <c r="T1414" s="174" t="str">
        <f ca="1">IF(B1414="","",IF(ISERROR(MATCH($J1414,SorP!$B$1:$B$6279,0)),"",INDIRECT("'SorP'!$A$"&amp;MATCH($S1414&amp;$J1414,SorP!C:C,0))))</f>
        <v/>
      </c>
      <c r="U1414" s="194"/>
      <c r="V1414" s="218" t="e">
        <f>IF(C1414="",NA(),IF(OR(C1414="Smelter not listed",C1414="Smelter not yet identified"),MATCH($B1414&amp;$D1414,'Smelter Look-up'!$J:$J,0),MATCH($B1414&amp;$C1414,'Smelter Look-up'!$J:$J,0)))</f>
        <v>#N/A</v>
      </c>
      <c r="X1414" s="219">
        <f t="shared" ca="1" si="202"/>
        <v>0</v>
      </c>
      <c r="AB1414" s="220" t="str">
        <f t="shared" si="203"/>
        <v/>
      </c>
    </row>
    <row r="1415" spans="1:28" s="219" customFormat="1" ht="20.25">
      <c r="A1415" s="174"/>
      <c r="B1415" s="175" t="str">
        <f>IF(LEN(A1415)=0,"",INDEX('Smelter Look-up'!$A:$A,MATCH($A1415,'Smelter Look-up'!$E:$E,0)))</f>
        <v/>
      </c>
      <c r="C1415" s="179" t="str">
        <f>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01"/>
        <v/>
      </c>
      <c r="T1415" s="174" t="str">
        <f ca="1">IF(B1415="","",IF(ISERROR(MATCH($J1415,SorP!$B$1:$B$6279,0)),"",INDIRECT("'SorP'!$A$"&amp;MATCH($S1415&amp;$J1415,SorP!C:C,0))))</f>
        <v/>
      </c>
      <c r="U1415" s="194"/>
      <c r="V1415" s="218" t="e">
        <f>IF(C1415="",NA(),IF(OR(C1415="Smelter not listed",C1415="Smelter not yet identified"),MATCH($B1415&amp;$D1415,'Smelter Look-up'!$J:$J,0),MATCH($B1415&amp;$C1415,'Smelter Look-up'!$J:$J,0)))</f>
        <v>#N/A</v>
      </c>
      <c r="X1415" s="219">
        <f t="shared" ca="1" si="202"/>
        <v>0</v>
      </c>
      <c r="AB1415" s="220" t="str">
        <f t="shared" si="203"/>
        <v/>
      </c>
    </row>
    <row r="1416" spans="1:28" s="219" customFormat="1" ht="20.25">
      <c r="A1416" s="174"/>
      <c r="B1416" s="175" t="str">
        <f>IF(LEN(A1416)=0,"",INDEX('Smelter Look-up'!$A:$A,MATCH($A1416,'Smelter Look-up'!$E:$E,0)))</f>
        <v/>
      </c>
      <c r="C1416" s="179" t="str">
        <f>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01"/>
        <v/>
      </c>
      <c r="T1416" s="174" t="str">
        <f ca="1">IF(B1416="","",IF(ISERROR(MATCH($J1416,SorP!$B$1:$B$6279,0)),"",INDIRECT("'SorP'!$A$"&amp;MATCH($S1416&amp;$J1416,SorP!C:C,0))))</f>
        <v/>
      </c>
      <c r="U1416" s="194"/>
      <c r="V1416" s="218" t="e">
        <f>IF(C1416="",NA(),IF(OR(C1416="Smelter not listed",C1416="Smelter not yet identified"),MATCH($B1416&amp;$D1416,'Smelter Look-up'!$J:$J,0),MATCH($B1416&amp;$C1416,'Smelter Look-up'!$J:$J,0)))</f>
        <v>#N/A</v>
      </c>
      <c r="X1416" s="219">
        <f t="shared" ca="1" si="202"/>
        <v>0</v>
      </c>
      <c r="AB1416" s="220" t="str">
        <f t="shared" si="203"/>
        <v/>
      </c>
    </row>
    <row r="1417" spans="1:28" s="219" customFormat="1" ht="20.25">
      <c r="A1417" s="174"/>
      <c r="B1417" s="175" t="str">
        <f>IF(LEN(A1417)=0,"",INDEX('Smelter Look-up'!$A:$A,MATCH($A1417,'Smelter Look-up'!$E:$E,0)))</f>
        <v/>
      </c>
      <c r="C1417" s="179" t="str">
        <f>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01"/>
        <v/>
      </c>
      <c r="T1417" s="174" t="str">
        <f ca="1">IF(B1417="","",IF(ISERROR(MATCH($J1417,SorP!$B$1:$B$6279,0)),"",INDIRECT("'SorP'!$A$"&amp;MATCH($S1417&amp;$J1417,SorP!C:C,0))))</f>
        <v/>
      </c>
      <c r="U1417" s="194"/>
      <c r="V1417" s="218" t="e">
        <f>IF(C1417="",NA(),IF(OR(C1417="Smelter not listed",C1417="Smelter not yet identified"),MATCH($B1417&amp;$D1417,'Smelter Look-up'!$J:$J,0),MATCH($B1417&amp;$C1417,'Smelter Look-up'!$J:$J,0)))</f>
        <v>#N/A</v>
      </c>
      <c r="X1417" s="219">
        <f t="shared" ca="1" si="202"/>
        <v>0</v>
      </c>
      <c r="AB1417" s="220" t="str">
        <f t="shared" si="203"/>
        <v/>
      </c>
    </row>
    <row r="1418" spans="1:28" s="219" customFormat="1" ht="20.25">
      <c r="A1418" s="174"/>
      <c r="B1418" s="175" t="str">
        <f>IF(LEN(A1418)=0,"",INDEX('Smelter Look-up'!$A:$A,MATCH($A1418,'Smelter Look-up'!$E:$E,0)))</f>
        <v/>
      </c>
      <c r="C1418" s="179" t="str">
        <f>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01"/>
        <v/>
      </c>
      <c r="T1418" s="174" t="str">
        <f ca="1">IF(B1418="","",IF(ISERROR(MATCH($J1418,SorP!$B$1:$B$6279,0)),"",INDIRECT("'SorP'!$A$"&amp;MATCH($S1418&amp;$J1418,SorP!C:C,0))))</f>
        <v/>
      </c>
      <c r="U1418" s="194"/>
      <c r="V1418" s="218" t="e">
        <f>IF(C1418="",NA(),IF(OR(C1418="Smelter not listed",C1418="Smelter not yet identified"),MATCH($B1418&amp;$D1418,'Smelter Look-up'!$J:$J,0),MATCH($B1418&amp;$C1418,'Smelter Look-up'!$J:$J,0)))</f>
        <v>#N/A</v>
      </c>
      <c r="X1418" s="219">
        <f t="shared" ca="1" si="202"/>
        <v>0</v>
      </c>
      <c r="AB1418" s="220" t="str">
        <f t="shared" si="203"/>
        <v/>
      </c>
    </row>
    <row r="1419" spans="1:28" s="219" customFormat="1" ht="20.25">
      <c r="A1419" s="174"/>
      <c r="B1419" s="175" t="str">
        <f>IF(LEN(A1419)=0,"",INDEX('Smelter Look-up'!$A:$A,MATCH($A1419,'Smelter Look-up'!$E:$E,0)))</f>
        <v/>
      </c>
      <c r="C1419" s="179" t="str">
        <f>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01"/>
        <v/>
      </c>
      <c r="T1419" s="174" t="str">
        <f ca="1">IF(B1419="","",IF(ISERROR(MATCH($J1419,SorP!$B$1:$B$6279,0)),"",INDIRECT("'SorP'!$A$"&amp;MATCH($S1419&amp;$J1419,SorP!C:C,0))))</f>
        <v/>
      </c>
      <c r="U1419" s="194"/>
      <c r="V1419" s="218" t="e">
        <f>IF(C1419="",NA(),IF(OR(C1419="Smelter not listed",C1419="Smelter not yet identified"),MATCH($B1419&amp;$D1419,'Smelter Look-up'!$J:$J,0),MATCH($B1419&amp;$C1419,'Smelter Look-up'!$J:$J,0)))</f>
        <v>#N/A</v>
      </c>
      <c r="X1419" s="219">
        <f t="shared" ca="1" si="202"/>
        <v>0</v>
      </c>
      <c r="AB1419" s="220" t="str">
        <f t="shared" si="203"/>
        <v/>
      </c>
    </row>
    <row r="1420" spans="1:28" s="219" customFormat="1" ht="20.25">
      <c r="A1420" s="174"/>
      <c r="B1420" s="175" t="str">
        <f>IF(LEN(A1420)=0,"",INDEX('Smelter Look-up'!$A:$A,MATCH($A1420,'Smelter Look-up'!$E:$E,0)))</f>
        <v/>
      </c>
      <c r="C1420" s="179" t="str">
        <f>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01"/>
        <v/>
      </c>
      <c r="T1420" s="174" t="str">
        <f ca="1">IF(B1420="","",IF(ISERROR(MATCH($J1420,SorP!$B$1:$B$6279,0)),"",INDIRECT("'SorP'!$A$"&amp;MATCH($S1420&amp;$J1420,SorP!C:C,0))))</f>
        <v/>
      </c>
      <c r="U1420" s="194"/>
      <c r="V1420" s="218" t="e">
        <f>IF(C1420="",NA(),IF(OR(C1420="Smelter not listed",C1420="Smelter not yet identified"),MATCH($B1420&amp;$D1420,'Smelter Look-up'!$J:$J,0),MATCH($B1420&amp;$C1420,'Smelter Look-up'!$J:$J,0)))</f>
        <v>#N/A</v>
      </c>
      <c r="X1420" s="219">
        <f t="shared" ca="1" si="202"/>
        <v>0</v>
      </c>
      <c r="AB1420" s="220" t="str">
        <f t="shared" si="203"/>
        <v/>
      </c>
    </row>
    <row r="1421" spans="1:28" s="219" customFormat="1" ht="20.25">
      <c r="A1421" s="174"/>
      <c r="B1421" s="175" t="str">
        <f>IF(LEN(A1421)=0,"",INDEX('Smelter Look-up'!$A:$A,MATCH($A1421,'Smelter Look-up'!$E:$E,0)))</f>
        <v/>
      </c>
      <c r="C1421" s="179" t="str">
        <f>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01"/>
        <v/>
      </c>
      <c r="T1421" s="174" t="str">
        <f ca="1">IF(B1421="","",IF(ISERROR(MATCH($J1421,SorP!$B$1:$B$6279,0)),"",INDIRECT("'SorP'!$A$"&amp;MATCH($S1421&amp;$J1421,SorP!C:C,0))))</f>
        <v/>
      </c>
      <c r="U1421" s="194"/>
      <c r="V1421" s="218" t="e">
        <f>IF(C1421="",NA(),IF(OR(C1421="Smelter not listed",C1421="Smelter not yet identified"),MATCH($B1421&amp;$D1421,'Smelter Look-up'!$J:$J,0),MATCH($B1421&amp;$C1421,'Smelter Look-up'!$J:$J,0)))</f>
        <v>#N/A</v>
      </c>
      <c r="X1421" s="219">
        <f t="shared" ca="1" si="202"/>
        <v>0</v>
      </c>
      <c r="AB1421" s="220" t="str">
        <f t="shared" si="203"/>
        <v/>
      </c>
    </row>
    <row r="1422" spans="1:28" s="219" customFormat="1" ht="20.25">
      <c r="A1422" s="174"/>
      <c r="B1422" s="175" t="str">
        <f>IF(LEN(A1422)=0,"",INDEX('Smelter Look-up'!$A:$A,MATCH($A1422,'Smelter Look-up'!$E:$E,0)))</f>
        <v/>
      </c>
      <c r="C1422" s="179" t="str">
        <f>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01"/>
        <v/>
      </c>
      <c r="T1422" s="174" t="str">
        <f ca="1">IF(B1422="","",IF(ISERROR(MATCH($J1422,SorP!$B$1:$B$6279,0)),"",INDIRECT("'SorP'!$A$"&amp;MATCH($S1422&amp;$J1422,SorP!C:C,0))))</f>
        <v/>
      </c>
      <c r="U1422" s="194"/>
      <c r="V1422" s="218" t="e">
        <f>IF(C1422="",NA(),IF(OR(C1422="Smelter not listed",C1422="Smelter not yet identified"),MATCH($B1422&amp;$D1422,'Smelter Look-up'!$J:$J,0),MATCH($B1422&amp;$C1422,'Smelter Look-up'!$J:$J,0)))</f>
        <v>#N/A</v>
      </c>
      <c r="X1422" s="219">
        <f t="shared" ca="1" si="202"/>
        <v>0</v>
      </c>
      <c r="AB1422" s="220" t="str">
        <f t="shared" si="203"/>
        <v/>
      </c>
    </row>
    <row r="1423" spans="1:28" s="219" customFormat="1" ht="20.25">
      <c r="A1423" s="174"/>
      <c r="B1423" s="175" t="str">
        <f>IF(LEN(A1423)=0,"",INDEX('Smelter Look-up'!$A:$A,MATCH($A1423,'Smelter Look-up'!$E:$E,0)))</f>
        <v/>
      </c>
      <c r="C1423" s="179" t="str">
        <f>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01"/>
        <v/>
      </c>
      <c r="T1423" s="174" t="str">
        <f ca="1">IF(B1423="","",IF(ISERROR(MATCH($J1423,SorP!$B$1:$B$6279,0)),"",INDIRECT("'SorP'!$A$"&amp;MATCH($S1423&amp;$J1423,SorP!C:C,0))))</f>
        <v/>
      </c>
      <c r="U1423" s="194"/>
      <c r="V1423" s="218" t="e">
        <f>IF(C1423="",NA(),IF(OR(C1423="Smelter not listed",C1423="Smelter not yet identified"),MATCH($B1423&amp;$D1423,'Smelter Look-up'!$J:$J,0),MATCH($B1423&amp;$C1423,'Smelter Look-up'!$J:$J,0)))</f>
        <v>#N/A</v>
      </c>
      <c r="X1423" s="219">
        <f t="shared" ca="1" si="202"/>
        <v>0</v>
      </c>
      <c r="AB1423" s="220" t="str">
        <f t="shared" si="203"/>
        <v/>
      </c>
    </row>
    <row r="1424" spans="1:28" s="219" customFormat="1" ht="20.25">
      <c r="A1424" s="174"/>
      <c r="B1424" s="175" t="str">
        <f>IF(LEN(A1424)=0,"",INDEX('Smelter Look-up'!$A:$A,MATCH($A1424,'Smelter Look-up'!$E:$E,0)))</f>
        <v/>
      </c>
      <c r="C1424" s="179" t="str">
        <f>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01"/>
        <v/>
      </c>
      <c r="T1424" s="174" t="str">
        <f ca="1">IF(B1424="","",IF(ISERROR(MATCH($J1424,SorP!$B$1:$B$6279,0)),"",INDIRECT("'SorP'!$A$"&amp;MATCH($S1424&amp;$J1424,SorP!C:C,0))))</f>
        <v/>
      </c>
      <c r="U1424" s="194"/>
      <c r="V1424" s="218" t="e">
        <f>IF(C1424="",NA(),IF(OR(C1424="Smelter not listed",C1424="Smelter not yet identified"),MATCH($B1424&amp;$D1424,'Smelter Look-up'!$J:$J,0),MATCH($B1424&amp;$C1424,'Smelter Look-up'!$J:$J,0)))</f>
        <v>#N/A</v>
      </c>
      <c r="X1424" s="219">
        <f t="shared" ca="1" si="202"/>
        <v>0</v>
      </c>
      <c r="AB1424" s="220" t="str">
        <f t="shared" si="203"/>
        <v/>
      </c>
    </row>
    <row r="1425" spans="1:28" s="219" customFormat="1" ht="20.25">
      <c r="A1425" s="174"/>
      <c r="B1425" s="175" t="str">
        <f>IF(LEN(A1425)=0,"",INDEX('Smelter Look-up'!$A:$A,MATCH($A1425,'Smelter Look-up'!$E:$E,0)))</f>
        <v/>
      </c>
      <c r="C1425" s="179" t="str">
        <f>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01"/>
        <v/>
      </c>
      <c r="T1425" s="174" t="str">
        <f ca="1">IF(B1425="","",IF(ISERROR(MATCH($J1425,SorP!$B$1:$B$6279,0)),"",INDIRECT("'SorP'!$A$"&amp;MATCH($S1425&amp;$J1425,SorP!C:C,0))))</f>
        <v/>
      </c>
      <c r="U1425" s="194"/>
      <c r="V1425" s="218" t="e">
        <f>IF(C1425="",NA(),IF(OR(C1425="Smelter not listed",C1425="Smelter not yet identified"),MATCH($B1425&amp;$D1425,'Smelter Look-up'!$J:$J,0),MATCH($B1425&amp;$C1425,'Smelter Look-up'!$J:$J,0)))</f>
        <v>#N/A</v>
      </c>
      <c r="X1425" s="219">
        <f t="shared" ca="1" si="202"/>
        <v>0</v>
      </c>
      <c r="AB1425" s="220" t="str">
        <f t="shared" si="203"/>
        <v/>
      </c>
    </row>
    <row r="1426" spans="1:28" s="219" customFormat="1" ht="20.25">
      <c r="A1426" s="174"/>
      <c r="B1426" s="175" t="str">
        <f>IF(LEN(A1426)=0,"",INDEX('Smelter Look-up'!$A:$A,MATCH($A1426,'Smelter Look-up'!$E:$E,0)))</f>
        <v/>
      </c>
      <c r="C1426" s="179" t="str">
        <f>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201"/>
        <v/>
      </c>
      <c r="T1426" s="174" t="str">
        <f ca="1">IF(B1426="","",IF(ISERROR(MATCH($J1426,SorP!$B$1:$B$6279,0)),"",INDIRECT("'SorP'!$A$"&amp;MATCH($S1426&amp;$J1426,SorP!C:C,0))))</f>
        <v/>
      </c>
      <c r="U1426" s="194"/>
      <c r="V1426" s="218" t="e">
        <f>IF(C1426="",NA(),IF(OR(C1426="Smelter not listed",C1426="Smelter not yet identified"),MATCH($B1426&amp;$D1426,'Smelter Look-up'!$J:$J,0),MATCH($B1426&amp;$C1426,'Smelter Look-up'!$J:$J,0)))</f>
        <v>#N/A</v>
      </c>
      <c r="X1426" s="219">
        <f t="shared" ca="1" si="202"/>
        <v>0</v>
      </c>
      <c r="AB1426" s="220" t="str">
        <f t="shared" si="203"/>
        <v/>
      </c>
    </row>
    <row r="1427" spans="1:28" s="219" customFormat="1" ht="20.25">
      <c r="A1427" s="174"/>
      <c r="B1427" s="175" t="str">
        <f>IF(LEN(A1427)=0,"",INDEX('Smelter Look-up'!$A:$A,MATCH($A1427,'Smelter Look-up'!$E:$E,0)))</f>
        <v/>
      </c>
      <c r="C1427" s="179" t="str">
        <f>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201"/>
        <v/>
      </c>
      <c r="T1427" s="174" t="str">
        <f ca="1">IF(B1427="","",IF(ISERROR(MATCH($J1427,SorP!$B$1:$B$6279,0)),"",INDIRECT("'SorP'!$A$"&amp;MATCH($S1427&amp;$J1427,SorP!C:C,0))))</f>
        <v/>
      </c>
      <c r="U1427" s="194"/>
      <c r="V1427" s="218" t="e">
        <f>IF(C1427="",NA(),IF(OR(C1427="Smelter not listed",C1427="Smelter not yet identified"),MATCH($B1427&amp;$D1427,'Smelter Look-up'!$J:$J,0),MATCH($B1427&amp;$C1427,'Smelter Look-up'!$J:$J,0)))</f>
        <v>#N/A</v>
      </c>
      <c r="X1427" s="219">
        <f t="shared" ca="1" si="202"/>
        <v>0</v>
      </c>
      <c r="AB1427" s="220" t="str">
        <f t="shared" si="203"/>
        <v/>
      </c>
    </row>
    <row r="1428" spans="1:28" s="219" customFormat="1" ht="20.25">
      <c r="A1428" s="174"/>
      <c r="B1428" s="175" t="str">
        <f>IF(LEN(A1428)=0,"",INDEX('Smelter Look-up'!$A:$A,MATCH($A1428,'Smelter Look-up'!$E:$E,0)))</f>
        <v/>
      </c>
      <c r="C1428" s="179" t="str">
        <f>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01"/>
        <v/>
      </c>
      <c r="T1428" s="174" t="str">
        <f ca="1">IF(B1428="","",IF(ISERROR(MATCH($J1428,SorP!$B$1:$B$6279,0)),"",INDIRECT("'SorP'!$A$"&amp;MATCH($S1428&amp;$J1428,SorP!C:C,0))))</f>
        <v/>
      </c>
      <c r="U1428" s="194"/>
      <c r="V1428" s="218" t="e">
        <f>IF(C1428="",NA(),IF(OR(C1428="Smelter not listed",C1428="Smelter not yet identified"),MATCH($B1428&amp;$D1428,'Smelter Look-up'!$J:$J,0),MATCH($B1428&amp;$C1428,'Smelter Look-up'!$J:$J,0)))</f>
        <v>#N/A</v>
      </c>
      <c r="X1428" s="219">
        <f t="shared" ca="1" si="202"/>
        <v>0</v>
      </c>
      <c r="AB1428" s="220" t="str">
        <f t="shared" si="203"/>
        <v/>
      </c>
    </row>
    <row r="1429" spans="1:28" s="219" customFormat="1" ht="20.25">
      <c r="A1429" s="174"/>
      <c r="B1429" s="175" t="str">
        <f>IF(LEN(A1429)=0,"",INDEX('Smelter Look-up'!$A:$A,MATCH($A1429,'Smelter Look-up'!$E:$E,0)))</f>
        <v/>
      </c>
      <c r="C1429" s="179" t="str">
        <f>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01"/>
        <v/>
      </c>
      <c r="T1429" s="174" t="str">
        <f ca="1">IF(B1429="","",IF(ISERROR(MATCH($J1429,SorP!$B$1:$B$6279,0)),"",INDIRECT("'SorP'!$A$"&amp;MATCH($S1429&amp;$J1429,SorP!C:C,0))))</f>
        <v/>
      </c>
      <c r="U1429" s="194"/>
      <c r="V1429" s="218" t="e">
        <f>IF(C1429="",NA(),IF(OR(C1429="Smelter not listed",C1429="Smelter not yet identified"),MATCH($B1429&amp;$D1429,'Smelter Look-up'!$J:$J,0),MATCH($B1429&amp;$C1429,'Smelter Look-up'!$J:$J,0)))</f>
        <v>#N/A</v>
      </c>
      <c r="X1429" s="219">
        <f t="shared" ca="1" si="202"/>
        <v>0</v>
      </c>
      <c r="AB1429" s="220" t="str">
        <f t="shared" si="203"/>
        <v/>
      </c>
    </row>
    <row r="1430" spans="1:28" s="219" customFormat="1" ht="20.25">
      <c r="A1430" s="174"/>
      <c r="B1430" s="175" t="str">
        <f>IF(LEN(A1430)=0,"",INDEX('Smelter Look-up'!$A:$A,MATCH($A1430,'Smelter Look-up'!$E:$E,0)))</f>
        <v/>
      </c>
      <c r="C1430" s="179" t="str">
        <f>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01"/>
        <v/>
      </c>
      <c r="T1430" s="174" t="str">
        <f ca="1">IF(B1430="","",IF(ISERROR(MATCH($J1430,SorP!$B$1:$B$6279,0)),"",INDIRECT("'SorP'!$A$"&amp;MATCH($S1430&amp;$J1430,SorP!C:C,0))))</f>
        <v/>
      </c>
      <c r="U1430" s="194"/>
      <c r="V1430" s="218" t="e">
        <f>IF(C1430="",NA(),IF(OR(C1430="Smelter not listed",C1430="Smelter not yet identified"),MATCH($B1430&amp;$D1430,'Smelter Look-up'!$J:$J,0),MATCH($B1430&amp;$C1430,'Smelter Look-up'!$J:$J,0)))</f>
        <v>#N/A</v>
      </c>
      <c r="X1430" s="219">
        <f t="shared" ca="1" si="202"/>
        <v>0</v>
      </c>
      <c r="AB1430" s="220" t="str">
        <f t="shared" si="203"/>
        <v/>
      </c>
    </row>
    <row r="1431" spans="1:28" s="219" customFormat="1" ht="20.25">
      <c r="A1431" s="174"/>
      <c r="B1431" s="175" t="str">
        <f>IF(LEN(A1431)=0,"",INDEX('Smelter Look-up'!$A:$A,MATCH($A1431,'Smelter Look-up'!$E:$E,0)))</f>
        <v/>
      </c>
      <c r="C1431" s="179" t="str">
        <f>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01"/>
        <v/>
      </c>
      <c r="T1431" s="174" t="str">
        <f ca="1">IF(B1431="","",IF(ISERROR(MATCH($J1431,SorP!$B$1:$B$6279,0)),"",INDIRECT("'SorP'!$A$"&amp;MATCH($S1431&amp;$J1431,SorP!C:C,0))))</f>
        <v/>
      </c>
      <c r="U1431" s="194"/>
      <c r="V1431" s="218" t="e">
        <f>IF(C1431="",NA(),IF(OR(C1431="Smelter not listed",C1431="Smelter not yet identified"),MATCH($B1431&amp;$D1431,'Smelter Look-up'!$J:$J,0),MATCH($B1431&amp;$C1431,'Smelter Look-up'!$J:$J,0)))</f>
        <v>#N/A</v>
      </c>
      <c r="X1431" s="219">
        <f t="shared" ca="1" si="202"/>
        <v>0</v>
      </c>
      <c r="AB1431" s="220" t="str">
        <f t="shared" si="203"/>
        <v/>
      </c>
    </row>
    <row r="1432" spans="1:28" s="219" customFormat="1" ht="20.25">
      <c r="A1432" s="174"/>
      <c r="B1432" s="175" t="str">
        <f>IF(LEN(A1432)=0,"",INDEX('Smelter Look-up'!$A:$A,MATCH($A1432,'Smelter Look-up'!$E:$E,0)))</f>
        <v/>
      </c>
      <c r="C1432" s="179" t="str">
        <f>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01"/>
        <v/>
      </c>
      <c r="T1432" s="174" t="str">
        <f ca="1">IF(B1432="","",IF(ISERROR(MATCH($J1432,SorP!$B$1:$B$6279,0)),"",INDIRECT("'SorP'!$A$"&amp;MATCH($S1432&amp;$J1432,SorP!C:C,0))))</f>
        <v/>
      </c>
      <c r="U1432" s="194"/>
      <c r="V1432" s="218" t="e">
        <f>IF(C1432="",NA(),IF(OR(C1432="Smelter not listed",C1432="Smelter not yet identified"),MATCH($B1432&amp;$D1432,'Smelter Look-up'!$J:$J,0),MATCH($B1432&amp;$C1432,'Smelter Look-up'!$J:$J,0)))</f>
        <v>#N/A</v>
      </c>
      <c r="X1432" s="219">
        <f t="shared" ca="1" si="202"/>
        <v>0</v>
      </c>
      <c r="AB1432" s="220" t="str">
        <f t="shared" si="203"/>
        <v/>
      </c>
    </row>
    <row r="1433" spans="1:28" s="219" customFormat="1" ht="20.25">
      <c r="A1433" s="174"/>
      <c r="B1433" s="175" t="str">
        <f>IF(LEN(A1433)=0,"",INDEX('Smelter Look-up'!$A:$A,MATCH($A1433,'Smelter Look-up'!$E:$E,0)))</f>
        <v/>
      </c>
      <c r="C1433" s="179" t="str">
        <f>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01"/>
        <v/>
      </c>
      <c r="T1433" s="174" t="str">
        <f ca="1">IF(B1433="","",IF(ISERROR(MATCH($J1433,SorP!$B$1:$B$6279,0)),"",INDIRECT("'SorP'!$A$"&amp;MATCH($S1433&amp;$J1433,SorP!C:C,0))))</f>
        <v/>
      </c>
      <c r="U1433" s="194"/>
      <c r="V1433" s="218" t="e">
        <f>IF(C1433="",NA(),IF(OR(C1433="Smelter not listed",C1433="Smelter not yet identified"),MATCH($B1433&amp;$D1433,'Smelter Look-up'!$J:$J,0),MATCH($B1433&amp;$C1433,'Smelter Look-up'!$J:$J,0)))</f>
        <v>#N/A</v>
      </c>
      <c r="X1433" s="219">
        <f t="shared" ca="1" si="202"/>
        <v>0</v>
      </c>
      <c r="AB1433" s="220" t="str">
        <f t="shared" si="203"/>
        <v/>
      </c>
    </row>
    <row r="1434" spans="1:28" s="219" customFormat="1" ht="20.25">
      <c r="A1434" s="174"/>
      <c r="B1434" s="175" t="str">
        <f>IF(LEN(A1434)=0,"",INDEX('Smelter Look-up'!$A:$A,MATCH($A1434,'Smelter Look-up'!$E:$E,0)))</f>
        <v/>
      </c>
      <c r="C1434" s="179" t="str">
        <f>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201"/>
        <v/>
      </c>
      <c r="T1434" s="174" t="str">
        <f ca="1">IF(B1434="","",IF(ISERROR(MATCH($J1434,SorP!$B$1:$B$6279,0)),"",INDIRECT("'SorP'!$A$"&amp;MATCH($S1434&amp;$J1434,SorP!C:C,0))))</f>
        <v/>
      </c>
      <c r="U1434" s="194"/>
      <c r="V1434" s="218" t="e">
        <f>IF(C1434="",NA(),IF(OR(C1434="Smelter not listed",C1434="Smelter not yet identified"),MATCH($B1434&amp;$D1434,'Smelter Look-up'!$J:$J,0),MATCH($B1434&amp;$C1434,'Smelter Look-up'!$J:$J,0)))</f>
        <v>#N/A</v>
      </c>
      <c r="X1434" s="219">
        <f t="shared" ca="1" si="202"/>
        <v>0</v>
      </c>
      <c r="AB1434" s="220" t="str">
        <f t="shared" si="203"/>
        <v/>
      </c>
    </row>
    <row r="1435" spans="1:28" s="219" customFormat="1" ht="20.25">
      <c r="A1435" s="174"/>
      <c r="B1435" s="175" t="str">
        <f>IF(LEN(A1435)=0,"",INDEX('Smelter Look-up'!$A:$A,MATCH($A1435,'Smelter Look-up'!$E:$E,0)))</f>
        <v/>
      </c>
      <c r="C1435" s="179" t="str">
        <f>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201"/>
        <v/>
      </c>
      <c r="T1435" s="174" t="str">
        <f ca="1">IF(B1435="","",IF(ISERROR(MATCH($J1435,SorP!$B$1:$B$6279,0)),"",INDIRECT("'SorP'!$A$"&amp;MATCH($S1435&amp;$J1435,SorP!C:C,0))))</f>
        <v/>
      </c>
      <c r="U1435" s="194"/>
      <c r="V1435" s="218" t="e">
        <f>IF(C1435="",NA(),IF(OR(C1435="Smelter not listed",C1435="Smelter not yet identified"),MATCH($B1435&amp;$D1435,'Smelter Look-up'!$J:$J,0),MATCH($B1435&amp;$C1435,'Smelter Look-up'!$J:$J,0)))</f>
        <v>#N/A</v>
      </c>
      <c r="X1435" s="219">
        <f t="shared" ca="1" si="202"/>
        <v>0</v>
      </c>
      <c r="AB1435" s="220" t="str">
        <f t="shared" si="203"/>
        <v/>
      </c>
    </row>
    <row r="1436" spans="1:28" s="219" customFormat="1" ht="20.25">
      <c r="A1436" s="174"/>
      <c r="B1436" s="175" t="str">
        <f>IF(LEN(A1436)=0,"",INDEX('Smelter Look-up'!$A:$A,MATCH($A1436,'Smelter Look-up'!$E:$E,0)))</f>
        <v/>
      </c>
      <c r="C1436" s="179" t="str">
        <f>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ref="S1436:S1466" ca="1" si="204">IF(B1436="","",IF(ISERROR(MATCH($E1436,CL,0)),"Unknown",INDIRECT("'C'!$A$"&amp;MATCH($E1436,CL,0)+1)))</f>
        <v/>
      </c>
      <c r="T1436" s="174" t="str">
        <f ca="1">IF(B1436="","",IF(ISERROR(MATCH($J1436,SorP!$B$1:$B$6279,0)),"",INDIRECT("'SorP'!$A$"&amp;MATCH($S1436&amp;$J1436,SorP!C:C,0))))</f>
        <v/>
      </c>
      <c r="U1436" s="194"/>
      <c r="V1436" s="218" t="e">
        <f>IF(C1436="",NA(),IF(OR(C1436="Smelter not listed",C1436="Smelter not yet identified"),MATCH($B1436&amp;$D1436,'Smelter Look-up'!$J:$J,0),MATCH($B1436&amp;$C1436,'Smelter Look-up'!$J:$J,0)))</f>
        <v>#N/A</v>
      </c>
      <c r="X1436" s="219">
        <f t="shared" ref="X1436:X1466" ca="1" si="205">IF(AND(C1436="Smelter not listed",OR(LEN(D1436)=0,LEN(E1436)=0)),1,0)</f>
        <v>0</v>
      </c>
      <c r="AB1436" s="220" t="str">
        <f t="shared" ref="AB1436:AB1466" si="206">B1436&amp;C1436</f>
        <v/>
      </c>
    </row>
    <row r="1437" spans="1:28" s="219" customFormat="1" ht="20.25">
      <c r="A1437" s="174"/>
      <c r="B1437" s="175" t="str">
        <f>IF(LEN(A1437)=0,"",INDEX('Smelter Look-up'!$A:$A,MATCH($A1437,'Smelter Look-up'!$E:$E,0)))</f>
        <v/>
      </c>
      <c r="C1437" s="179" t="str">
        <f>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04"/>
        <v/>
      </c>
      <c r="T1437" s="174" t="str">
        <f ca="1">IF(B1437="","",IF(ISERROR(MATCH($J1437,SorP!$B$1:$B$6279,0)),"",INDIRECT("'SorP'!$A$"&amp;MATCH($S1437&amp;$J1437,SorP!C:C,0))))</f>
        <v/>
      </c>
      <c r="U1437" s="194"/>
      <c r="V1437" s="218" t="e">
        <f>IF(C1437="",NA(),IF(OR(C1437="Smelter not listed",C1437="Smelter not yet identified"),MATCH($B1437&amp;$D1437,'Smelter Look-up'!$J:$J,0),MATCH($B1437&amp;$C1437,'Smelter Look-up'!$J:$J,0)))</f>
        <v>#N/A</v>
      </c>
      <c r="X1437" s="219">
        <f t="shared" ca="1" si="205"/>
        <v>0</v>
      </c>
      <c r="AB1437" s="220" t="str">
        <f t="shared" si="206"/>
        <v/>
      </c>
    </row>
    <row r="1438" spans="1:28" s="219" customFormat="1" ht="20.25">
      <c r="A1438" s="174"/>
      <c r="B1438" s="175" t="str">
        <f>IF(LEN(A1438)=0,"",INDEX('Smelter Look-up'!$A:$A,MATCH($A1438,'Smelter Look-up'!$E:$E,0)))</f>
        <v/>
      </c>
      <c r="C1438" s="179" t="str">
        <f>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04"/>
        <v/>
      </c>
      <c r="T1438" s="174" t="str">
        <f ca="1">IF(B1438="","",IF(ISERROR(MATCH($J1438,SorP!$B$1:$B$6279,0)),"",INDIRECT("'SorP'!$A$"&amp;MATCH($S1438&amp;$J1438,SorP!C:C,0))))</f>
        <v/>
      </c>
      <c r="U1438" s="194"/>
      <c r="V1438" s="218" t="e">
        <f>IF(C1438="",NA(),IF(OR(C1438="Smelter not listed",C1438="Smelter not yet identified"),MATCH($B1438&amp;$D1438,'Smelter Look-up'!$J:$J,0),MATCH($B1438&amp;$C1438,'Smelter Look-up'!$J:$J,0)))</f>
        <v>#N/A</v>
      </c>
      <c r="X1438" s="219">
        <f t="shared" ca="1" si="205"/>
        <v>0</v>
      </c>
      <c r="AB1438" s="220" t="str">
        <f t="shared" si="206"/>
        <v/>
      </c>
    </row>
    <row r="1439" spans="1:28" s="219" customFormat="1" ht="20.25">
      <c r="A1439" s="174"/>
      <c r="B1439" s="175" t="str">
        <f>IF(LEN(A1439)=0,"",INDEX('Smelter Look-up'!$A:$A,MATCH($A1439,'Smelter Look-up'!$E:$E,0)))</f>
        <v/>
      </c>
      <c r="C1439" s="179" t="str">
        <f>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04"/>
        <v/>
      </c>
      <c r="T1439" s="174" t="str">
        <f ca="1">IF(B1439="","",IF(ISERROR(MATCH($J1439,SorP!$B$1:$B$6279,0)),"",INDIRECT("'SorP'!$A$"&amp;MATCH($S1439&amp;$J1439,SorP!C:C,0))))</f>
        <v/>
      </c>
      <c r="U1439" s="194"/>
      <c r="V1439" s="218" t="e">
        <f>IF(C1439="",NA(),IF(OR(C1439="Smelter not listed",C1439="Smelter not yet identified"),MATCH($B1439&amp;$D1439,'Smelter Look-up'!$J:$J,0),MATCH($B1439&amp;$C1439,'Smelter Look-up'!$J:$J,0)))</f>
        <v>#N/A</v>
      </c>
      <c r="X1439" s="219">
        <f t="shared" ca="1" si="205"/>
        <v>0</v>
      </c>
      <c r="AB1439" s="220" t="str">
        <f t="shared" si="206"/>
        <v/>
      </c>
    </row>
    <row r="1440" spans="1:28" s="219" customFormat="1" ht="20.25">
      <c r="A1440" s="174"/>
      <c r="B1440" s="175" t="str">
        <f>IF(LEN(A1440)=0,"",INDEX('Smelter Look-up'!$A:$A,MATCH($A1440,'Smelter Look-up'!$E:$E,0)))</f>
        <v/>
      </c>
      <c r="C1440" s="179" t="str">
        <f>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04"/>
        <v/>
      </c>
      <c r="T1440" s="174" t="str">
        <f ca="1">IF(B1440="","",IF(ISERROR(MATCH($J1440,SorP!$B$1:$B$6279,0)),"",INDIRECT("'SorP'!$A$"&amp;MATCH($S1440&amp;$J1440,SorP!C:C,0))))</f>
        <v/>
      </c>
      <c r="U1440" s="194"/>
      <c r="V1440" s="218" t="e">
        <f>IF(C1440="",NA(),IF(OR(C1440="Smelter not listed",C1440="Smelter not yet identified"),MATCH($B1440&amp;$D1440,'Smelter Look-up'!$J:$J,0),MATCH($B1440&amp;$C1440,'Smelter Look-up'!$J:$J,0)))</f>
        <v>#N/A</v>
      </c>
      <c r="X1440" s="219">
        <f t="shared" ca="1" si="205"/>
        <v>0</v>
      </c>
      <c r="AB1440" s="220" t="str">
        <f t="shared" si="206"/>
        <v/>
      </c>
    </row>
    <row r="1441" spans="1:28" s="219" customFormat="1" ht="20.25">
      <c r="A1441" s="174"/>
      <c r="B1441" s="175" t="str">
        <f>IF(LEN(A1441)=0,"",INDEX('Smelter Look-up'!$A:$A,MATCH($A1441,'Smelter Look-up'!$E:$E,0)))</f>
        <v/>
      </c>
      <c r="C1441" s="179" t="str">
        <f>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04"/>
        <v/>
      </c>
      <c r="T1441" s="174" t="str">
        <f ca="1">IF(B1441="","",IF(ISERROR(MATCH($J1441,SorP!$B$1:$B$6279,0)),"",INDIRECT("'SorP'!$A$"&amp;MATCH($S1441&amp;$J1441,SorP!C:C,0))))</f>
        <v/>
      </c>
      <c r="U1441" s="194"/>
      <c r="V1441" s="218" t="e">
        <f>IF(C1441="",NA(),IF(OR(C1441="Smelter not listed",C1441="Smelter not yet identified"),MATCH($B1441&amp;$D1441,'Smelter Look-up'!$J:$J,0),MATCH($B1441&amp;$C1441,'Smelter Look-up'!$J:$J,0)))</f>
        <v>#N/A</v>
      </c>
      <c r="X1441" s="219">
        <f t="shared" ca="1" si="205"/>
        <v>0</v>
      </c>
      <c r="AB1441" s="220" t="str">
        <f t="shared" si="206"/>
        <v/>
      </c>
    </row>
    <row r="1442" spans="1:28" s="219" customFormat="1" ht="20.25">
      <c r="A1442" s="174"/>
      <c r="B1442" s="175" t="str">
        <f>IF(LEN(A1442)=0,"",INDEX('Smelter Look-up'!$A:$A,MATCH($A1442,'Smelter Look-up'!$E:$E,0)))</f>
        <v/>
      </c>
      <c r="C1442" s="179" t="str">
        <f>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04"/>
        <v/>
      </c>
      <c r="T1442" s="174" t="str">
        <f ca="1">IF(B1442="","",IF(ISERROR(MATCH($J1442,SorP!$B$1:$B$6279,0)),"",INDIRECT("'SorP'!$A$"&amp;MATCH($S1442&amp;$J1442,SorP!C:C,0))))</f>
        <v/>
      </c>
      <c r="U1442" s="194"/>
      <c r="V1442" s="218" t="e">
        <f>IF(C1442="",NA(),IF(OR(C1442="Smelter not listed",C1442="Smelter not yet identified"),MATCH($B1442&amp;$D1442,'Smelter Look-up'!$J:$J,0),MATCH($B1442&amp;$C1442,'Smelter Look-up'!$J:$J,0)))</f>
        <v>#N/A</v>
      </c>
      <c r="X1442" s="219">
        <f t="shared" ca="1" si="205"/>
        <v>0</v>
      </c>
      <c r="AB1442" s="220" t="str">
        <f t="shared" si="206"/>
        <v/>
      </c>
    </row>
    <row r="1443" spans="1:28" s="219" customFormat="1" ht="20.25">
      <c r="A1443" s="174"/>
      <c r="B1443" s="175" t="str">
        <f>IF(LEN(A1443)=0,"",INDEX('Smelter Look-up'!$A:$A,MATCH($A1443,'Smelter Look-up'!$E:$E,0)))</f>
        <v/>
      </c>
      <c r="C1443" s="179" t="str">
        <f>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04"/>
        <v/>
      </c>
      <c r="T1443" s="174" t="str">
        <f ca="1">IF(B1443="","",IF(ISERROR(MATCH($J1443,SorP!$B$1:$B$6279,0)),"",INDIRECT("'SorP'!$A$"&amp;MATCH($S1443&amp;$J1443,SorP!C:C,0))))</f>
        <v/>
      </c>
      <c r="U1443" s="194"/>
      <c r="V1443" s="218" t="e">
        <f>IF(C1443="",NA(),IF(OR(C1443="Smelter not listed",C1443="Smelter not yet identified"),MATCH($B1443&amp;$D1443,'Smelter Look-up'!$J:$J,0),MATCH($B1443&amp;$C1443,'Smelter Look-up'!$J:$J,0)))</f>
        <v>#N/A</v>
      </c>
      <c r="X1443" s="219">
        <f t="shared" ca="1" si="205"/>
        <v>0</v>
      </c>
      <c r="AB1443" s="220" t="str">
        <f t="shared" si="206"/>
        <v/>
      </c>
    </row>
    <row r="1444" spans="1:28" s="219" customFormat="1" ht="20.25">
      <c r="A1444" s="174"/>
      <c r="B1444" s="175" t="str">
        <f>IF(LEN(A1444)=0,"",INDEX('Smelter Look-up'!$A:$A,MATCH($A1444,'Smelter Look-up'!$E:$E,0)))</f>
        <v/>
      </c>
      <c r="C1444" s="179" t="str">
        <f>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04"/>
        <v/>
      </c>
      <c r="T1444" s="174" t="str">
        <f ca="1">IF(B1444="","",IF(ISERROR(MATCH($J1444,SorP!$B$1:$B$6279,0)),"",INDIRECT("'SorP'!$A$"&amp;MATCH($S1444&amp;$J1444,SorP!C:C,0))))</f>
        <v/>
      </c>
      <c r="U1444" s="194"/>
      <c r="V1444" s="218" t="e">
        <f>IF(C1444="",NA(),IF(OR(C1444="Smelter not listed",C1444="Smelter not yet identified"),MATCH($B1444&amp;$D1444,'Smelter Look-up'!$J:$J,0),MATCH($B1444&amp;$C1444,'Smelter Look-up'!$J:$J,0)))</f>
        <v>#N/A</v>
      </c>
      <c r="X1444" s="219">
        <f t="shared" ca="1" si="205"/>
        <v>0</v>
      </c>
      <c r="AB1444" s="220" t="str">
        <f t="shared" si="206"/>
        <v/>
      </c>
    </row>
    <row r="1445" spans="1:28" s="219" customFormat="1" ht="20.25">
      <c r="A1445" s="174"/>
      <c r="B1445" s="175" t="str">
        <f>IF(LEN(A1445)=0,"",INDEX('Smelter Look-up'!$A:$A,MATCH($A1445,'Smelter Look-up'!$E:$E,0)))</f>
        <v/>
      </c>
      <c r="C1445" s="179" t="str">
        <f>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04"/>
        <v/>
      </c>
      <c r="T1445" s="174" t="str">
        <f ca="1">IF(B1445="","",IF(ISERROR(MATCH($J1445,SorP!$B$1:$B$6279,0)),"",INDIRECT("'SorP'!$A$"&amp;MATCH($S1445&amp;$J1445,SorP!C:C,0))))</f>
        <v/>
      </c>
      <c r="U1445" s="194"/>
      <c r="V1445" s="218" t="e">
        <f>IF(C1445="",NA(),IF(OR(C1445="Smelter not listed",C1445="Smelter not yet identified"),MATCH($B1445&amp;$D1445,'Smelter Look-up'!$J:$J,0),MATCH($B1445&amp;$C1445,'Smelter Look-up'!$J:$J,0)))</f>
        <v>#N/A</v>
      </c>
      <c r="X1445" s="219">
        <f t="shared" ca="1" si="205"/>
        <v>0</v>
      </c>
      <c r="AB1445" s="220" t="str">
        <f t="shared" si="206"/>
        <v/>
      </c>
    </row>
    <row r="1446" spans="1:28" s="219" customFormat="1" ht="20.25">
      <c r="A1446" s="174"/>
      <c r="B1446" s="175" t="str">
        <f>IF(LEN(A1446)=0,"",INDEX('Smelter Look-up'!$A:$A,MATCH($A1446,'Smelter Look-up'!$E:$E,0)))</f>
        <v/>
      </c>
      <c r="C1446" s="179" t="str">
        <f>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04"/>
        <v/>
      </c>
      <c r="T1446" s="174" t="str">
        <f ca="1">IF(B1446="","",IF(ISERROR(MATCH($J1446,SorP!$B$1:$B$6279,0)),"",INDIRECT("'SorP'!$A$"&amp;MATCH($S1446&amp;$J1446,SorP!C:C,0))))</f>
        <v/>
      </c>
      <c r="U1446" s="194"/>
      <c r="V1446" s="218" t="e">
        <f>IF(C1446="",NA(),IF(OR(C1446="Smelter not listed",C1446="Smelter not yet identified"),MATCH($B1446&amp;$D1446,'Smelter Look-up'!$J:$J,0),MATCH($B1446&amp;$C1446,'Smelter Look-up'!$J:$J,0)))</f>
        <v>#N/A</v>
      </c>
      <c r="X1446" s="219">
        <f t="shared" ca="1" si="205"/>
        <v>0</v>
      </c>
      <c r="AB1446" s="220" t="str">
        <f t="shared" si="206"/>
        <v/>
      </c>
    </row>
    <row r="1447" spans="1:28" s="219" customFormat="1" ht="20.25">
      <c r="A1447" s="174"/>
      <c r="B1447" s="175" t="str">
        <f>IF(LEN(A1447)=0,"",INDEX('Smelter Look-up'!$A:$A,MATCH($A1447,'Smelter Look-up'!$E:$E,0)))</f>
        <v/>
      </c>
      <c r="C1447" s="179" t="str">
        <f>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04"/>
        <v/>
      </c>
      <c r="T1447" s="174" t="str">
        <f ca="1">IF(B1447="","",IF(ISERROR(MATCH($J1447,SorP!$B$1:$B$6279,0)),"",INDIRECT("'SorP'!$A$"&amp;MATCH($S1447&amp;$J1447,SorP!C:C,0))))</f>
        <v/>
      </c>
      <c r="U1447" s="194"/>
      <c r="V1447" s="218" t="e">
        <f>IF(C1447="",NA(),IF(OR(C1447="Smelter not listed",C1447="Smelter not yet identified"),MATCH($B1447&amp;$D1447,'Smelter Look-up'!$J:$J,0),MATCH($B1447&amp;$C1447,'Smelter Look-up'!$J:$J,0)))</f>
        <v>#N/A</v>
      </c>
      <c r="X1447" s="219">
        <f t="shared" ca="1" si="205"/>
        <v>0</v>
      </c>
      <c r="AB1447" s="220" t="str">
        <f t="shared" si="206"/>
        <v/>
      </c>
    </row>
    <row r="1448" spans="1:28" s="219" customFormat="1" ht="20.25">
      <c r="A1448" s="174"/>
      <c r="B1448" s="175" t="str">
        <f>IF(LEN(A1448)=0,"",INDEX('Smelter Look-up'!$A:$A,MATCH($A1448,'Smelter Look-up'!$E:$E,0)))</f>
        <v/>
      </c>
      <c r="C1448" s="179" t="str">
        <f>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04"/>
        <v/>
      </c>
      <c r="T1448" s="174" t="str">
        <f ca="1">IF(B1448="","",IF(ISERROR(MATCH($J1448,SorP!$B$1:$B$6279,0)),"",INDIRECT("'SorP'!$A$"&amp;MATCH($S1448&amp;$J1448,SorP!C:C,0))))</f>
        <v/>
      </c>
      <c r="U1448" s="194"/>
      <c r="V1448" s="218" t="e">
        <f>IF(C1448="",NA(),IF(OR(C1448="Smelter not listed",C1448="Smelter not yet identified"),MATCH($B1448&amp;$D1448,'Smelter Look-up'!$J:$J,0),MATCH($B1448&amp;$C1448,'Smelter Look-up'!$J:$J,0)))</f>
        <v>#N/A</v>
      </c>
      <c r="X1448" s="219">
        <f t="shared" ca="1" si="205"/>
        <v>0</v>
      </c>
      <c r="AB1448" s="220" t="str">
        <f t="shared" si="206"/>
        <v/>
      </c>
    </row>
    <row r="1449" spans="1:28" s="219" customFormat="1" ht="20.25">
      <c r="A1449" s="174"/>
      <c r="B1449" s="175" t="str">
        <f>IF(LEN(A1449)=0,"",INDEX('Smelter Look-up'!$A:$A,MATCH($A1449,'Smelter Look-up'!$E:$E,0)))</f>
        <v/>
      </c>
      <c r="C1449" s="179" t="str">
        <f>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04"/>
        <v/>
      </c>
      <c r="T1449" s="174" t="str">
        <f ca="1">IF(B1449="","",IF(ISERROR(MATCH($J1449,SorP!$B$1:$B$6279,0)),"",INDIRECT("'SorP'!$A$"&amp;MATCH($S1449&amp;$J1449,SorP!C:C,0))))</f>
        <v/>
      </c>
      <c r="U1449" s="194"/>
      <c r="V1449" s="218" t="e">
        <f>IF(C1449="",NA(),IF(OR(C1449="Smelter not listed",C1449="Smelter not yet identified"),MATCH($B1449&amp;$D1449,'Smelter Look-up'!$J:$J,0),MATCH($B1449&amp;$C1449,'Smelter Look-up'!$J:$J,0)))</f>
        <v>#N/A</v>
      </c>
      <c r="X1449" s="219">
        <f t="shared" ca="1" si="205"/>
        <v>0</v>
      </c>
      <c r="AB1449" s="220" t="str">
        <f t="shared" si="206"/>
        <v/>
      </c>
    </row>
    <row r="1450" spans="1:28" s="219" customFormat="1" ht="20.25">
      <c r="A1450" s="174"/>
      <c r="B1450" s="175" t="str">
        <f>IF(LEN(A1450)=0,"",INDEX('Smelter Look-up'!$A:$A,MATCH($A1450,'Smelter Look-up'!$E:$E,0)))</f>
        <v/>
      </c>
      <c r="C1450" s="179" t="str">
        <f>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04"/>
        <v/>
      </c>
      <c r="T1450" s="174" t="str">
        <f ca="1">IF(B1450="","",IF(ISERROR(MATCH($J1450,SorP!$B$1:$B$6279,0)),"",INDIRECT("'SorP'!$A$"&amp;MATCH($S1450&amp;$J1450,SorP!C:C,0))))</f>
        <v/>
      </c>
      <c r="U1450" s="194"/>
      <c r="V1450" s="218" t="e">
        <f>IF(C1450="",NA(),IF(OR(C1450="Smelter not listed",C1450="Smelter not yet identified"),MATCH($B1450&amp;$D1450,'Smelter Look-up'!$J:$J,0),MATCH($B1450&amp;$C1450,'Smelter Look-up'!$J:$J,0)))</f>
        <v>#N/A</v>
      </c>
      <c r="X1450" s="219">
        <f t="shared" ca="1" si="205"/>
        <v>0</v>
      </c>
      <c r="AB1450" s="220" t="str">
        <f t="shared" si="206"/>
        <v/>
      </c>
    </row>
    <row r="1451" spans="1:28" s="219" customFormat="1" ht="20.25">
      <c r="A1451" s="174"/>
      <c r="B1451" s="175" t="str">
        <f>IF(LEN(A1451)=0,"",INDEX('Smelter Look-up'!$A:$A,MATCH($A1451,'Smelter Look-up'!$E:$E,0)))</f>
        <v/>
      </c>
      <c r="C1451" s="179" t="str">
        <f>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04"/>
        <v/>
      </c>
      <c r="T1451" s="174" t="str">
        <f ca="1">IF(B1451="","",IF(ISERROR(MATCH($J1451,SorP!$B$1:$B$6279,0)),"",INDIRECT("'SorP'!$A$"&amp;MATCH($S1451&amp;$J1451,SorP!C:C,0))))</f>
        <v/>
      </c>
      <c r="U1451" s="194"/>
      <c r="V1451" s="218" t="e">
        <f>IF(C1451="",NA(),IF(OR(C1451="Smelter not listed",C1451="Smelter not yet identified"),MATCH($B1451&amp;$D1451,'Smelter Look-up'!$J:$J,0),MATCH($B1451&amp;$C1451,'Smelter Look-up'!$J:$J,0)))</f>
        <v>#N/A</v>
      </c>
      <c r="X1451" s="219">
        <f t="shared" ca="1" si="205"/>
        <v>0</v>
      </c>
      <c r="AB1451" s="220" t="str">
        <f t="shared" si="206"/>
        <v/>
      </c>
    </row>
    <row r="1452" spans="1:28" s="219" customFormat="1" ht="20.25">
      <c r="A1452" s="174"/>
      <c r="B1452" s="175" t="str">
        <f>IF(LEN(A1452)=0,"",INDEX('Smelter Look-up'!$A:$A,MATCH($A1452,'Smelter Look-up'!$E:$E,0)))</f>
        <v/>
      </c>
      <c r="C1452" s="179" t="str">
        <f>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04"/>
        <v/>
      </c>
      <c r="T1452" s="174" t="str">
        <f ca="1">IF(B1452="","",IF(ISERROR(MATCH($J1452,SorP!$B$1:$B$6279,0)),"",INDIRECT("'SorP'!$A$"&amp;MATCH($S1452&amp;$J1452,SorP!C:C,0))))</f>
        <v/>
      </c>
      <c r="U1452" s="194"/>
      <c r="V1452" s="218" t="e">
        <f>IF(C1452="",NA(),IF(OR(C1452="Smelter not listed",C1452="Smelter not yet identified"),MATCH($B1452&amp;$D1452,'Smelter Look-up'!$J:$J,0),MATCH($B1452&amp;$C1452,'Smelter Look-up'!$J:$J,0)))</f>
        <v>#N/A</v>
      </c>
      <c r="X1452" s="219">
        <f t="shared" ca="1" si="205"/>
        <v>0</v>
      </c>
      <c r="AB1452" s="220" t="str">
        <f t="shared" si="206"/>
        <v/>
      </c>
    </row>
    <row r="1453" spans="1:28" s="219" customFormat="1" ht="20.25">
      <c r="A1453" s="174"/>
      <c r="B1453" s="175" t="str">
        <f>IF(LEN(A1453)=0,"",INDEX('Smelter Look-up'!$A:$A,MATCH($A1453,'Smelter Look-up'!$E:$E,0)))</f>
        <v/>
      </c>
      <c r="C1453" s="179" t="str">
        <f>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04"/>
        <v/>
      </c>
      <c r="T1453" s="174" t="str">
        <f ca="1">IF(B1453="","",IF(ISERROR(MATCH($J1453,SorP!$B$1:$B$6279,0)),"",INDIRECT("'SorP'!$A$"&amp;MATCH($S1453&amp;$J1453,SorP!C:C,0))))</f>
        <v/>
      </c>
      <c r="U1453" s="194"/>
      <c r="V1453" s="218" t="e">
        <f>IF(C1453="",NA(),IF(OR(C1453="Smelter not listed",C1453="Smelter not yet identified"),MATCH($B1453&amp;$D1453,'Smelter Look-up'!$J:$J,0),MATCH($B1453&amp;$C1453,'Smelter Look-up'!$J:$J,0)))</f>
        <v>#N/A</v>
      </c>
      <c r="X1453" s="219">
        <f t="shared" ca="1" si="205"/>
        <v>0</v>
      </c>
      <c r="AB1453" s="220" t="str">
        <f t="shared" si="206"/>
        <v/>
      </c>
    </row>
    <row r="1454" spans="1:28" s="219" customFormat="1" ht="20.25">
      <c r="A1454" s="174"/>
      <c r="B1454" s="175" t="str">
        <f>IF(LEN(A1454)=0,"",INDEX('Smelter Look-up'!$A:$A,MATCH($A1454,'Smelter Look-up'!$E:$E,0)))</f>
        <v/>
      </c>
      <c r="C1454" s="179" t="str">
        <f>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04"/>
        <v/>
      </c>
      <c r="T1454" s="174" t="str">
        <f ca="1">IF(B1454="","",IF(ISERROR(MATCH($J1454,SorP!$B$1:$B$6279,0)),"",INDIRECT("'SorP'!$A$"&amp;MATCH($S1454&amp;$J1454,SorP!C:C,0))))</f>
        <v/>
      </c>
      <c r="U1454" s="194"/>
      <c r="V1454" s="218" t="e">
        <f>IF(C1454="",NA(),IF(OR(C1454="Smelter not listed",C1454="Smelter not yet identified"),MATCH($B1454&amp;$D1454,'Smelter Look-up'!$J:$J,0),MATCH($B1454&amp;$C1454,'Smelter Look-up'!$J:$J,0)))</f>
        <v>#N/A</v>
      </c>
      <c r="X1454" s="219">
        <f t="shared" ca="1" si="205"/>
        <v>0</v>
      </c>
      <c r="AB1454" s="220" t="str">
        <f t="shared" si="206"/>
        <v/>
      </c>
    </row>
    <row r="1455" spans="1:28" s="219" customFormat="1" ht="20.25">
      <c r="A1455" s="174"/>
      <c r="B1455" s="175" t="str">
        <f>IF(LEN(A1455)=0,"",INDEX('Smelter Look-up'!$A:$A,MATCH($A1455,'Smelter Look-up'!$E:$E,0)))</f>
        <v/>
      </c>
      <c r="C1455" s="179" t="str">
        <f>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04"/>
        <v/>
      </c>
      <c r="T1455" s="174" t="str">
        <f ca="1">IF(B1455="","",IF(ISERROR(MATCH($J1455,SorP!$B$1:$B$6279,0)),"",INDIRECT("'SorP'!$A$"&amp;MATCH($S1455&amp;$J1455,SorP!C:C,0))))</f>
        <v/>
      </c>
      <c r="U1455" s="194"/>
      <c r="V1455" s="218" t="e">
        <f>IF(C1455="",NA(),IF(OR(C1455="Smelter not listed",C1455="Smelter not yet identified"),MATCH($B1455&amp;$D1455,'Smelter Look-up'!$J:$J,0),MATCH($B1455&amp;$C1455,'Smelter Look-up'!$J:$J,0)))</f>
        <v>#N/A</v>
      </c>
      <c r="X1455" s="219">
        <f t="shared" ca="1" si="205"/>
        <v>0</v>
      </c>
      <c r="AB1455" s="220" t="str">
        <f t="shared" si="206"/>
        <v/>
      </c>
    </row>
    <row r="1456" spans="1:28" s="219" customFormat="1" ht="20.25">
      <c r="A1456" s="174"/>
      <c r="B1456" s="175" t="str">
        <f>IF(LEN(A1456)=0,"",INDEX('Smelter Look-up'!$A:$A,MATCH($A1456,'Smelter Look-up'!$E:$E,0)))</f>
        <v/>
      </c>
      <c r="C1456" s="179" t="str">
        <f>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04"/>
        <v/>
      </c>
      <c r="T1456" s="174" t="str">
        <f ca="1">IF(B1456="","",IF(ISERROR(MATCH($J1456,SorP!$B$1:$B$6279,0)),"",INDIRECT("'SorP'!$A$"&amp;MATCH($S1456&amp;$J1456,SorP!C:C,0))))</f>
        <v/>
      </c>
      <c r="U1456" s="194"/>
      <c r="V1456" s="218" t="e">
        <f>IF(C1456="",NA(),IF(OR(C1456="Smelter not listed",C1456="Smelter not yet identified"),MATCH($B1456&amp;$D1456,'Smelter Look-up'!$J:$J,0),MATCH($B1456&amp;$C1456,'Smelter Look-up'!$J:$J,0)))</f>
        <v>#N/A</v>
      </c>
      <c r="X1456" s="219">
        <f t="shared" ca="1" si="205"/>
        <v>0</v>
      </c>
      <c r="AB1456" s="220" t="str">
        <f t="shared" si="206"/>
        <v/>
      </c>
    </row>
    <row r="1457" spans="1:28" s="219" customFormat="1" ht="20.25">
      <c r="A1457" s="174"/>
      <c r="B1457" s="175" t="str">
        <f>IF(LEN(A1457)=0,"",INDEX('Smelter Look-up'!$A:$A,MATCH($A1457,'Smelter Look-up'!$E:$E,0)))</f>
        <v/>
      </c>
      <c r="C1457" s="179" t="str">
        <f>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04"/>
        <v/>
      </c>
      <c r="T1457" s="174" t="str">
        <f ca="1">IF(B1457="","",IF(ISERROR(MATCH($J1457,SorP!$B$1:$B$6279,0)),"",INDIRECT("'SorP'!$A$"&amp;MATCH($S1457&amp;$J1457,SorP!C:C,0))))</f>
        <v/>
      </c>
      <c r="U1457" s="194"/>
      <c r="V1457" s="218" t="e">
        <f>IF(C1457="",NA(),IF(OR(C1457="Smelter not listed",C1457="Smelter not yet identified"),MATCH($B1457&amp;$D1457,'Smelter Look-up'!$J:$J,0),MATCH($B1457&amp;$C1457,'Smelter Look-up'!$J:$J,0)))</f>
        <v>#N/A</v>
      </c>
      <c r="X1457" s="219">
        <f t="shared" ca="1" si="205"/>
        <v>0</v>
      </c>
      <c r="AB1457" s="220" t="str">
        <f t="shared" si="206"/>
        <v/>
      </c>
    </row>
    <row r="1458" spans="1:28" s="219" customFormat="1" ht="20.25">
      <c r="A1458" s="174"/>
      <c r="B1458" s="175" t="str">
        <f>IF(LEN(A1458)=0,"",INDEX('Smelter Look-up'!$A:$A,MATCH($A1458,'Smelter Look-up'!$E:$E,0)))</f>
        <v/>
      </c>
      <c r="C1458" s="179" t="str">
        <f>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04"/>
        <v/>
      </c>
      <c r="T1458" s="174" t="str">
        <f ca="1">IF(B1458="","",IF(ISERROR(MATCH($J1458,SorP!$B$1:$B$6279,0)),"",INDIRECT("'SorP'!$A$"&amp;MATCH($S1458&amp;$J1458,SorP!C:C,0))))</f>
        <v/>
      </c>
      <c r="U1458" s="194"/>
      <c r="V1458" s="218" t="e">
        <f>IF(C1458="",NA(),IF(OR(C1458="Smelter not listed",C1458="Smelter not yet identified"),MATCH($B1458&amp;$D1458,'Smelter Look-up'!$J:$J,0),MATCH($B1458&amp;$C1458,'Smelter Look-up'!$J:$J,0)))</f>
        <v>#N/A</v>
      </c>
      <c r="X1458" s="219">
        <f t="shared" ca="1" si="205"/>
        <v>0</v>
      </c>
      <c r="AB1458" s="220" t="str">
        <f t="shared" si="206"/>
        <v/>
      </c>
    </row>
    <row r="1459" spans="1:28" s="219" customFormat="1" ht="20.25">
      <c r="A1459" s="174"/>
      <c r="B1459" s="175" t="str">
        <f>IF(LEN(A1459)=0,"",INDEX('Smelter Look-up'!$A:$A,MATCH($A1459,'Smelter Look-up'!$E:$E,0)))</f>
        <v/>
      </c>
      <c r="C1459" s="179" t="str">
        <f>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204"/>
        <v/>
      </c>
      <c r="T1459" s="174" t="str">
        <f ca="1">IF(B1459="","",IF(ISERROR(MATCH($J1459,SorP!$B$1:$B$6279,0)),"",INDIRECT("'SorP'!$A$"&amp;MATCH($S1459&amp;$J1459,SorP!C:C,0))))</f>
        <v/>
      </c>
      <c r="U1459" s="194"/>
      <c r="V1459" s="218" t="e">
        <f>IF(C1459="",NA(),IF(OR(C1459="Smelter not listed",C1459="Smelter not yet identified"),MATCH($B1459&amp;$D1459,'Smelter Look-up'!$J:$J,0),MATCH($B1459&amp;$C1459,'Smelter Look-up'!$J:$J,0)))</f>
        <v>#N/A</v>
      </c>
      <c r="X1459" s="219">
        <f t="shared" ca="1" si="205"/>
        <v>0</v>
      </c>
      <c r="AB1459" s="220" t="str">
        <f t="shared" si="206"/>
        <v/>
      </c>
    </row>
    <row r="1460" spans="1:28" s="219" customFormat="1" ht="20.25">
      <c r="A1460" s="174"/>
      <c r="B1460" s="175" t="str">
        <f>IF(LEN(A1460)=0,"",INDEX('Smelter Look-up'!$A:$A,MATCH($A1460,'Smelter Look-up'!$E:$E,0)))</f>
        <v/>
      </c>
      <c r="C1460" s="179" t="str">
        <f>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04"/>
        <v/>
      </c>
      <c r="T1460" s="174" t="str">
        <f ca="1">IF(B1460="","",IF(ISERROR(MATCH($J1460,SorP!$B$1:$B$6279,0)),"",INDIRECT("'SorP'!$A$"&amp;MATCH($S1460&amp;$J1460,SorP!C:C,0))))</f>
        <v/>
      </c>
      <c r="U1460" s="194"/>
      <c r="V1460" s="218" t="e">
        <f>IF(C1460="",NA(),IF(OR(C1460="Smelter not listed",C1460="Smelter not yet identified"),MATCH($B1460&amp;$D1460,'Smelter Look-up'!$J:$J,0),MATCH($B1460&amp;$C1460,'Smelter Look-up'!$J:$J,0)))</f>
        <v>#N/A</v>
      </c>
      <c r="X1460" s="219">
        <f t="shared" ca="1" si="205"/>
        <v>0</v>
      </c>
      <c r="AB1460" s="220" t="str">
        <f t="shared" si="206"/>
        <v/>
      </c>
    </row>
    <row r="1461" spans="1:28" s="219" customFormat="1" ht="20.25">
      <c r="A1461" s="174"/>
      <c r="B1461" s="175" t="str">
        <f>IF(LEN(A1461)=0,"",INDEX('Smelter Look-up'!$A:$A,MATCH($A1461,'Smelter Look-up'!$E:$E,0)))</f>
        <v/>
      </c>
      <c r="C1461" s="179" t="str">
        <f>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04"/>
        <v/>
      </c>
      <c r="T1461" s="174" t="str">
        <f ca="1">IF(B1461="","",IF(ISERROR(MATCH($J1461,SorP!$B$1:$B$6279,0)),"",INDIRECT("'SorP'!$A$"&amp;MATCH($S1461&amp;$J1461,SorP!C:C,0))))</f>
        <v/>
      </c>
      <c r="U1461" s="194"/>
      <c r="V1461" s="218" t="e">
        <f>IF(C1461="",NA(),IF(OR(C1461="Smelter not listed",C1461="Smelter not yet identified"),MATCH($B1461&amp;$D1461,'Smelter Look-up'!$J:$J,0),MATCH($B1461&amp;$C1461,'Smelter Look-up'!$J:$J,0)))</f>
        <v>#N/A</v>
      </c>
      <c r="X1461" s="219">
        <f t="shared" ca="1" si="205"/>
        <v>0</v>
      </c>
      <c r="AB1461" s="220" t="str">
        <f t="shared" si="206"/>
        <v/>
      </c>
    </row>
    <row r="1462" spans="1:28" s="219" customFormat="1" ht="20.25">
      <c r="A1462" s="174"/>
      <c r="B1462" s="175" t="str">
        <f>IF(LEN(A1462)=0,"",INDEX('Smelter Look-up'!$A:$A,MATCH($A1462,'Smelter Look-up'!$E:$E,0)))</f>
        <v/>
      </c>
      <c r="C1462" s="179" t="str">
        <f>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04"/>
        <v/>
      </c>
      <c r="T1462" s="174" t="str">
        <f ca="1">IF(B1462="","",IF(ISERROR(MATCH($J1462,SorP!$B$1:$B$6279,0)),"",INDIRECT("'SorP'!$A$"&amp;MATCH($S1462&amp;$J1462,SorP!C:C,0))))</f>
        <v/>
      </c>
      <c r="U1462" s="194"/>
      <c r="V1462" s="218" t="e">
        <f>IF(C1462="",NA(),IF(OR(C1462="Smelter not listed",C1462="Smelter not yet identified"),MATCH($B1462&amp;$D1462,'Smelter Look-up'!$J:$J,0),MATCH($B1462&amp;$C1462,'Smelter Look-up'!$J:$J,0)))</f>
        <v>#N/A</v>
      </c>
      <c r="X1462" s="219">
        <f t="shared" ca="1" si="205"/>
        <v>0</v>
      </c>
      <c r="AB1462" s="220" t="str">
        <f t="shared" si="206"/>
        <v/>
      </c>
    </row>
    <row r="1463" spans="1:28" s="219" customFormat="1" ht="20.25">
      <c r="A1463" s="174"/>
      <c r="B1463" s="175" t="str">
        <f>IF(LEN(A1463)=0,"",INDEX('Smelter Look-up'!$A:$A,MATCH($A1463,'Smelter Look-up'!$E:$E,0)))</f>
        <v/>
      </c>
      <c r="C1463" s="179" t="str">
        <f>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04"/>
        <v/>
      </c>
      <c r="T1463" s="174" t="str">
        <f ca="1">IF(B1463="","",IF(ISERROR(MATCH($J1463,SorP!$B$1:$B$6279,0)),"",INDIRECT("'SorP'!$A$"&amp;MATCH($S1463&amp;$J1463,SorP!C:C,0))))</f>
        <v/>
      </c>
      <c r="U1463" s="194"/>
      <c r="V1463" s="218" t="e">
        <f>IF(C1463="",NA(),IF(OR(C1463="Smelter not listed",C1463="Smelter not yet identified"),MATCH($B1463&amp;$D1463,'Smelter Look-up'!$J:$J,0),MATCH($B1463&amp;$C1463,'Smelter Look-up'!$J:$J,0)))</f>
        <v>#N/A</v>
      </c>
      <c r="X1463" s="219">
        <f t="shared" ca="1" si="205"/>
        <v>0</v>
      </c>
      <c r="AB1463" s="220" t="str">
        <f t="shared" si="206"/>
        <v/>
      </c>
    </row>
    <row r="1464" spans="1:28" s="219" customFormat="1" ht="20.25">
      <c r="A1464" s="174"/>
      <c r="B1464" s="175" t="str">
        <f>IF(LEN(A1464)=0,"",INDEX('Smelter Look-up'!$A:$A,MATCH($A1464,'Smelter Look-up'!$E:$E,0)))</f>
        <v/>
      </c>
      <c r="C1464" s="179" t="str">
        <f>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04"/>
        <v/>
      </c>
      <c r="T1464" s="174" t="str">
        <f ca="1">IF(B1464="","",IF(ISERROR(MATCH($J1464,SorP!$B$1:$B$6279,0)),"",INDIRECT("'SorP'!$A$"&amp;MATCH($S1464&amp;$J1464,SorP!C:C,0))))</f>
        <v/>
      </c>
      <c r="U1464" s="194"/>
      <c r="V1464" s="218" t="e">
        <f>IF(C1464="",NA(),IF(OR(C1464="Smelter not listed",C1464="Smelter not yet identified"),MATCH($B1464&amp;$D1464,'Smelter Look-up'!$J:$J,0),MATCH($B1464&amp;$C1464,'Smelter Look-up'!$J:$J,0)))</f>
        <v>#N/A</v>
      </c>
      <c r="X1464" s="219">
        <f t="shared" ca="1" si="205"/>
        <v>0</v>
      </c>
      <c r="AB1464" s="220" t="str">
        <f t="shared" si="206"/>
        <v/>
      </c>
    </row>
    <row r="1465" spans="1:28" s="219" customFormat="1" ht="20.25">
      <c r="A1465" s="174"/>
      <c r="B1465" s="175" t="str">
        <f>IF(LEN(A1465)=0,"",INDEX('Smelter Look-up'!$A:$A,MATCH($A1465,'Smelter Look-up'!$E:$E,0)))</f>
        <v/>
      </c>
      <c r="C1465" s="179" t="str">
        <f>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204"/>
        <v/>
      </c>
      <c r="T1465" s="174" t="str">
        <f ca="1">IF(B1465="","",IF(ISERROR(MATCH($J1465,SorP!$B$1:$B$6279,0)),"",INDIRECT("'SorP'!$A$"&amp;MATCH($S1465&amp;$J1465,SorP!C:C,0))))</f>
        <v/>
      </c>
      <c r="U1465" s="194"/>
      <c r="V1465" s="218" t="e">
        <f>IF(C1465="",NA(),IF(OR(C1465="Smelter not listed",C1465="Smelter not yet identified"),MATCH($B1465&amp;$D1465,'Smelter Look-up'!$J:$J,0),MATCH($B1465&amp;$C1465,'Smelter Look-up'!$J:$J,0)))</f>
        <v>#N/A</v>
      </c>
      <c r="X1465" s="219">
        <f t="shared" ca="1" si="205"/>
        <v>0</v>
      </c>
      <c r="AB1465" s="220" t="str">
        <f t="shared" si="206"/>
        <v/>
      </c>
    </row>
    <row r="1466" spans="1:28" s="219" customFormat="1" ht="20.25">
      <c r="A1466" s="174"/>
      <c r="B1466" s="175" t="str">
        <f>IF(LEN(A1466)=0,"",INDEX('Smelter Look-up'!$A:$A,MATCH($A1466,'Smelter Look-up'!$E:$E,0)))</f>
        <v/>
      </c>
      <c r="C1466" s="179" t="str">
        <f>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ca="1" si="204"/>
        <v/>
      </c>
      <c r="T1466" s="174" t="str">
        <f ca="1">IF(B1466="","",IF(ISERROR(MATCH($J1466,SorP!$B$1:$B$6279,0)),"",INDIRECT("'SorP'!$A$"&amp;MATCH($S1466&amp;$J1466,SorP!C:C,0))))</f>
        <v/>
      </c>
      <c r="U1466" s="194"/>
      <c r="V1466" s="218" t="e">
        <f>IF(C1466="",NA(),IF(OR(C1466="Smelter not listed",C1466="Smelter not yet identified"),MATCH($B1466&amp;$D1466,'Smelter Look-up'!$J:$J,0),MATCH($B1466&amp;$C1466,'Smelter Look-up'!$J:$J,0)))</f>
        <v>#N/A</v>
      </c>
      <c r="X1466" s="219">
        <f t="shared" ca="1" si="205"/>
        <v>0</v>
      </c>
      <c r="AB1466" s="220" t="str">
        <f t="shared" si="206"/>
        <v/>
      </c>
    </row>
    <row r="1467" spans="1:28" s="219" customFormat="1" ht="20.25">
      <c r="A1467" s="174"/>
      <c r="B1467" s="175" t="str">
        <f>IF(LEN(A1467)=0,"",INDEX('Smelter Look-up'!$A:$A,MATCH($A1467,'Smelter Look-up'!$E:$E,0)))</f>
        <v/>
      </c>
      <c r="C1467" s="179" t="str">
        <f>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ref="S1467" ca="1" si="207">IF(B1467="","",IF(ISERROR(MATCH($E1467,CL,0)),"Unknown",INDIRECT("'C'!$A$"&amp;MATCH($E1467,CL,0)+1)))</f>
        <v/>
      </c>
      <c r="T1467" s="174" t="str">
        <f ca="1">IF(B1467="","",IF(ISERROR(MATCH($J1467,SorP!$B$1:$B$6279,0)),"",INDIRECT("'SorP'!$A$"&amp;MATCH($S1467&amp;$J1467,SorP!C:C,0))))</f>
        <v/>
      </c>
      <c r="U1467" s="194"/>
      <c r="V1467" s="218" t="e">
        <f>IF(C1467="",NA(),IF(OR(C1467="Smelter not listed",C1467="Smelter not yet identified"),MATCH($B1467&amp;$D1467,'Smelter Look-up'!$J:$J,0),MATCH($B1467&amp;$C1467,'Smelter Look-up'!$J:$J,0)))</f>
        <v>#N/A</v>
      </c>
      <c r="X1467" s="219">
        <f t="shared" ref="X1467" ca="1" si="208">IF(AND(C1467="Smelter not listed",OR(LEN(D1467)=0,LEN(E1467)=0)),1,0)</f>
        <v>0</v>
      </c>
      <c r="AB1467" s="220" t="str">
        <f t="shared" ref="AB1467" si="209">B1467&amp;C1467</f>
        <v/>
      </c>
    </row>
    <row r="1468" spans="1:28" s="219" customFormat="1" ht="20.25">
      <c r="A1468" s="174"/>
      <c r="B1468" s="175" t="str">
        <f>IF(LEN(A1468)=0,"",INDEX('Smelter Look-up'!$A:$A,MATCH($A1468,'Smelter Look-up'!$E:$E,0)))</f>
        <v/>
      </c>
      <c r="C1468" s="179" t="str">
        <f>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ref="S1468:S1499" ca="1" si="210">IF(B1468="","",IF(ISERROR(MATCH($E1468,CL,0)),"Unknown",INDIRECT("'C'!$A$"&amp;MATCH($E1468,CL,0)+1)))</f>
        <v/>
      </c>
      <c r="T1468" s="174" t="str">
        <f ca="1">IF(B1468="","",IF(ISERROR(MATCH($J1468,SorP!$B$1:$B$6279,0)),"",INDIRECT("'SorP'!$A$"&amp;MATCH($S1468&amp;$J1468,SorP!C:C,0))))</f>
        <v/>
      </c>
      <c r="U1468" s="194"/>
      <c r="V1468" s="218" t="e">
        <f>IF(C1468="",NA(),IF(OR(C1468="Smelter not listed",C1468="Smelter not yet identified"),MATCH($B1468&amp;$D1468,'Smelter Look-up'!$J:$J,0),MATCH($B1468&amp;$C1468,'Smelter Look-up'!$J:$J,0)))</f>
        <v>#N/A</v>
      </c>
      <c r="X1468" s="219">
        <f t="shared" ref="X1468:X1499" ca="1" si="211">IF(AND(C1468="Smelter not listed",OR(LEN(D1468)=0,LEN(E1468)=0)),1,0)</f>
        <v>0</v>
      </c>
      <c r="AB1468" s="220" t="str">
        <f t="shared" ref="AB1468:AB1499" si="212">B1468&amp;C1468</f>
        <v/>
      </c>
    </row>
    <row r="1469" spans="1:28" s="219" customFormat="1" ht="20.25">
      <c r="A1469" s="174"/>
      <c r="B1469" s="175" t="str">
        <f>IF(LEN(A1469)=0,"",INDEX('Smelter Look-up'!$A:$A,MATCH($A1469,'Smelter Look-up'!$E:$E,0)))</f>
        <v/>
      </c>
      <c r="C1469" s="179" t="str">
        <f>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10"/>
        <v/>
      </c>
      <c r="T1469" s="174" t="str">
        <f ca="1">IF(B1469="","",IF(ISERROR(MATCH($J1469,SorP!$B$1:$B$6279,0)),"",INDIRECT("'SorP'!$A$"&amp;MATCH($S1469&amp;$J1469,SorP!C:C,0))))</f>
        <v/>
      </c>
      <c r="U1469" s="194"/>
      <c r="V1469" s="218" t="e">
        <f>IF(C1469="",NA(),IF(OR(C1469="Smelter not listed",C1469="Smelter not yet identified"),MATCH($B1469&amp;$D1469,'Smelter Look-up'!$J:$J,0),MATCH($B1469&amp;$C1469,'Smelter Look-up'!$J:$J,0)))</f>
        <v>#N/A</v>
      </c>
      <c r="X1469" s="219">
        <f t="shared" ca="1" si="211"/>
        <v>0</v>
      </c>
      <c r="AB1469" s="220" t="str">
        <f t="shared" si="212"/>
        <v/>
      </c>
    </row>
    <row r="1470" spans="1:28" s="219" customFormat="1" ht="20.25">
      <c r="A1470" s="174"/>
      <c r="B1470" s="175" t="str">
        <f>IF(LEN(A1470)=0,"",INDEX('Smelter Look-up'!$A:$A,MATCH($A1470,'Smelter Look-up'!$E:$E,0)))</f>
        <v/>
      </c>
      <c r="C1470" s="179" t="str">
        <f>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10"/>
        <v/>
      </c>
      <c r="T1470" s="174" t="str">
        <f ca="1">IF(B1470="","",IF(ISERROR(MATCH($J1470,SorP!$B$1:$B$6279,0)),"",INDIRECT("'SorP'!$A$"&amp;MATCH($S1470&amp;$J1470,SorP!C:C,0))))</f>
        <v/>
      </c>
      <c r="U1470" s="194"/>
      <c r="V1470" s="218" t="e">
        <f>IF(C1470="",NA(),IF(OR(C1470="Smelter not listed",C1470="Smelter not yet identified"),MATCH($B1470&amp;$D1470,'Smelter Look-up'!$J:$J,0),MATCH($B1470&amp;$C1470,'Smelter Look-up'!$J:$J,0)))</f>
        <v>#N/A</v>
      </c>
      <c r="X1470" s="219">
        <f t="shared" ca="1" si="211"/>
        <v>0</v>
      </c>
      <c r="AB1470" s="220" t="str">
        <f t="shared" si="212"/>
        <v/>
      </c>
    </row>
    <row r="1471" spans="1:28" s="219" customFormat="1" ht="20.25">
      <c r="A1471" s="174"/>
      <c r="B1471" s="175" t="str">
        <f>IF(LEN(A1471)=0,"",INDEX('Smelter Look-up'!$A:$A,MATCH($A1471,'Smelter Look-up'!$E:$E,0)))</f>
        <v/>
      </c>
      <c r="C1471" s="179" t="str">
        <f>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10"/>
        <v/>
      </c>
      <c r="T1471" s="174" t="str">
        <f ca="1">IF(B1471="","",IF(ISERROR(MATCH($J1471,SorP!$B$1:$B$6279,0)),"",INDIRECT("'SorP'!$A$"&amp;MATCH($S1471&amp;$J1471,SorP!C:C,0))))</f>
        <v/>
      </c>
      <c r="U1471" s="194"/>
      <c r="V1471" s="218" t="e">
        <f>IF(C1471="",NA(),IF(OR(C1471="Smelter not listed",C1471="Smelter not yet identified"),MATCH($B1471&amp;$D1471,'Smelter Look-up'!$J:$J,0),MATCH($B1471&amp;$C1471,'Smelter Look-up'!$J:$J,0)))</f>
        <v>#N/A</v>
      </c>
      <c r="X1471" s="219">
        <f t="shared" ca="1" si="211"/>
        <v>0</v>
      </c>
      <c r="AB1471" s="220" t="str">
        <f t="shared" si="212"/>
        <v/>
      </c>
    </row>
    <row r="1472" spans="1:28" s="219" customFormat="1" ht="20.25">
      <c r="A1472" s="174"/>
      <c r="B1472" s="175" t="str">
        <f>IF(LEN(A1472)=0,"",INDEX('Smelter Look-up'!$A:$A,MATCH($A1472,'Smelter Look-up'!$E:$E,0)))</f>
        <v/>
      </c>
      <c r="C1472" s="179" t="str">
        <f>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10"/>
        <v/>
      </c>
      <c r="T1472" s="174" t="str">
        <f ca="1">IF(B1472="","",IF(ISERROR(MATCH($J1472,SorP!$B$1:$B$6279,0)),"",INDIRECT("'SorP'!$A$"&amp;MATCH($S1472&amp;$J1472,SorP!C:C,0))))</f>
        <v/>
      </c>
      <c r="U1472" s="194"/>
      <c r="V1472" s="218" t="e">
        <f>IF(C1472="",NA(),IF(OR(C1472="Smelter not listed",C1472="Smelter not yet identified"),MATCH($B1472&amp;$D1472,'Smelter Look-up'!$J:$J,0),MATCH($B1472&amp;$C1472,'Smelter Look-up'!$J:$J,0)))</f>
        <v>#N/A</v>
      </c>
      <c r="X1472" s="219">
        <f t="shared" ca="1" si="211"/>
        <v>0</v>
      </c>
      <c r="AB1472" s="220" t="str">
        <f t="shared" si="212"/>
        <v/>
      </c>
    </row>
    <row r="1473" spans="1:28" s="219" customFormat="1" ht="20.25">
      <c r="A1473" s="174"/>
      <c r="B1473" s="175" t="str">
        <f>IF(LEN(A1473)=0,"",INDEX('Smelter Look-up'!$A:$A,MATCH($A1473,'Smelter Look-up'!$E:$E,0)))</f>
        <v/>
      </c>
      <c r="C1473" s="179" t="str">
        <f>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10"/>
        <v/>
      </c>
      <c r="T1473" s="174" t="str">
        <f ca="1">IF(B1473="","",IF(ISERROR(MATCH($J1473,SorP!$B$1:$B$6279,0)),"",INDIRECT("'SorP'!$A$"&amp;MATCH($S1473&amp;$J1473,SorP!C:C,0))))</f>
        <v/>
      </c>
      <c r="U1473" s="194"/>
      <c r="V1473" s="218" t="e">
        <f>IF(C1473="",NA(),IF(OR(C1473="Smelter not listed",C1473="Smelter not yet identified"),MATCH($B1473&amp;$D1473,'Smelter Look-up'!$J:$J,0),MATCH($B1473&amp;$C1473,'Smelter Look-up'!$J:$J,0)))</f>
        <v>#N/A</v>
      </c>
      <c r="X1473" s="219">
        <f t="shared" ca="1" si="211"/>
        <v>0</v>
      </c>
      <c r="AB1473" s="220" t="str">
        <f t="shared" si="212"/>
        <v/>
      </c>
    </row>
    <row r="1474" spans="1:28" s="219" customFormat="1" ht="20.25">
      <c r="A1474" s="174"/>
      <c r="B1474" s="175" t="str">
        <f>IF(LEN(A1474)=0,"",INDEX('Smelter Look-up'!$A:$A,MATCH($A1474,'Smelter Look-up'!$E:$E,0)))</f>
        <v/>
      </c>
      <c r="C1474" s="179" t="str">
        <f>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10"/>
        <v/>
      </c>
      <c r="T1474" s="174" t="str">
        <f ca="1">IF(B1474="","",IF(ISERROR(MATCH($J1474,SorP!$B$1:$B$6279,0)),"",INDIRECT("'SorP'!$A$"&amp;MATCH($S1474&amp;$J1474,SorP!C:C,0))))</f>
        <v/>
      </c>
      <c r="U1474" s="194"/>
      <c r="V1474" s="218" t="e">
        <f>IF(C1474="",NA(),IF(OR(C1474="Smelter not listed",C1474="Smelter not yet identified"),MATCH($B1474&amp;$D1474,'Smelter Look-up'!$J:$J,0),MATCH($B1474&amp;$C1474,'Smelter Look-up'!$J:$J,0)))</f>
        <v>#N/A</v>
      </c>
      <c r="X1474" s="219">
        <f t="shared" ca="1" si="211"/>
        <v>0</v>
      </c>
      <c r="AB1474" s="220" t="str">
        <f t="shared" si="212"/>
        <v/>
      </c>
    </row>
    <row r="1475" spans="1:28" s="219" customFormat="1" ht="20.25">
      <c r="A1475" s="174"/>
      <c r="B1475" s="175" t="str">
        <f>IF(LEN(A1475)=0,"",INDEX('Smelter Look-up'!$A:$A,MATCH($A1475,'Smelter Look-up'!$E:$E,0)))</f>
        <v/>
      </c>
      <c r="C1475" s="179" t="str">
        <f>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10"/>
        <v/>
      </c>
      <c r="T1475" s="174" t="str">
        <f ca="1">IF(B1475="","",IF(ISERROR(MATCH($J1475,SorP!$B$1:$B$6279,0)),"",INDIRECT("'SorP'!$A$"&amp;MATCH($S1475&amp;$J1475,SorP!C:C,0))))</f>
        <v/>
      </c>
      <c r="U1475" s="194"/>
      <c r="V1475" s="218" t="e">
        <f>IF(C1475="",NA(),IF(OR(C1475="Smelter not listed",C1475="Smelter not yet identified"),MATCH($B1475&amp;$D1475,'Smelter Look-up'!$J:$J,0),MATCH($B1475&amp;$C1475,'Smelter Look-up'!$J:$J,0)))</f>
        <v>#N/A</v>
      </c>
      <c r="X1475" s="219">
        <f t="shared" ca="1" si="211"/>
        <v>0</v>
      </c>
      <c r="AB1475" s="220" t="str">
        <f t="shared" si="212"/>
        <v/>
      </c>
    </row>
    <row r="1476" spans="1:28" s="219" customFormat="1" ht="20.25">
      <c r="A1476" s="174"/>
      <c r="B1476" s="175" t="str">
        <f>IF(LEN(A1476)=0,"",INDEX('Smelter Look-up'!$A:$A,MATCH($A1476,'Smelter Look-up'!$E:$E,0)))</f>
        <v/>
      </c>
      <c r="C1476" s="179" t="str">
        <f>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10"/>
        <v/>
      </c>
      <c r="T1476" s="174" t="str">
        <f ca="1">IF(B1476="","",IF(ISERROR(MATCH($J1476,SorP!$B$1:$B$6279,0)),"",INDIRECT("'SorP'!$A$"&amp;MATCH($S1476&amp;$J1476,SorP!C:C,0))))</f>
        <v/>
      </c>
      <c r="U1476" s="194"/>
      <c r="V1476" s="218" t="e">
        <f>IF(C1476="",NA(),IF(OR(C1476="Smelter not listed",C1476="Smelter not yet identified"),MATCH($B1476&amp;$D1476,'Smelter Look-up'!$J:$J,0),MATCH($B1476&amp;$C1476,'Smelter Look-up'!$J:$J,0)))</f>
        <v>#N/A</v>
      </c>
      <c r="X1476" s="219">
        <f t="shared" ca="1" si="211"/>
        <v>0</v>
      </c>
      <c r="AB1476" s="220" t="str">
        <f t="shared" si="212"/>
        <v/>
      </c>
    </row>
    <row r="1477" spans="1:28" s="219" customFormat="1" ht="20.25">
      <c r="A1477" s="174"/>
      <c r="B1477" s="175" t="str">
        <f>IF(LEN(A1477)=0,"",INDEX('Smelter Look-up'!$A:$A,MATCH($A1477,'Smelter Look-up'!$E:$E,0)))</f>
        <v/>
      </c>
      <c r="C1477" s="179" t="str">
        <f>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10"/>
        <v/>
      </c>
      <c r="T1477" s="174" t="str">
        <f ca="1">IF(B1477="","",IF(ISERROR(MATCH($J1477,SorP!$B$1:$B$6279,0)),"",INDIRECT("'SorP'!$A$"&amp;MATCH($S1477&amp;$J1477,SorP!C:C,0))))</f>
        <v/>
      </c>
      <c r="U1477" s="194"/>
      <c r="V1477" s="218" t="e">
        <f>IF(C1477="",NA(),IF(OR(C1477="Smelter not listed",C1477="Smelter not yet identified"),MATCH($B1477&amp;$D1477,'Smelter Look-up'!$J:$J,0),MATCH($B1477&amp;$C1477,'Smelter Look-up'!$J:$J,0)))</f>
        <v>#N/A</v>
      </c>
      <c r="X1477" s="219">
        <f t="shared" ca="1" si="211"/>
        <v>0</v>
      </c>
      <c r="AB1477" s="220" t="str">
        <f t="shared" si="212"/>
        <v/>
      </c>
    </row>
    <row r="1478" spans="1:28" s="219" customFormat="1" ht="20.25">
      <c r="A1478" s="174"/>
      <c r="B1478" s="175" t="str">
        <f>IF(LEN(A1478)=0,"",INDEX('Smelter Look-up'!$A:$A,MATCH($A1478,'Smelter Look-up'!$E:$E,0)))</f>
        <v/>
      </c>
      <c r="C1478" s="179" t="str">
        <f>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10"/>
        <v/>
      </c>
      <c r="T1478" s="174" t="str">
        <f ca="1">IF(B1478="","",IF(ISERROR(MATCH($J1478,SorP!$B$1:$B$6279,0)),"",INDIRECT("'SorP'!$A$"&amp;MATCH($S1478&amp;$J1478,SorP!C:C,0))))</f>
        <v/>
      </c>
      <c r="U1478" s="194"/>
      <c r="V1478" s="218" t="e">
        <f>IF(C1478="",NA(),IF(OR(C1478="Smelter not listed",C1478="Smelter not yet identified"),MATCH($B1478&amp;$D1478,'Smelter Look-up'!$J:$J,0),MATCH($B1478&amp;$C1478,'Smelter Look-up'!$J:$J,0)))</f>
        <v>#N/A</v>
      </c>
      <c r="X1478" s="219">
        <f t="shared" ca="1" si="211"/>
        <v>0</v>
      </c>
      <c r="AB1478" s="220" t="str">
        <f t="shared" si="212"/>
        <v/>
      </c>
    </row>
    <row r="1479" spans="1:28" s="219" customFormat="1" ht="20.25">
      <c r="A1479" s="174"/>
      <c r="B1479" s="175" t="str">
        <f>IF(LEN(A1479)=0,"",INDEX('Smelter Look-up'!$A:$A,MATCH($A1479,'Smelter Look-up'!$E:$E,0)))</f>
        <v/>
      </c>
      <c r="C1479" s="179" t="str">
        <f>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10"/>
        <v/>
      </c>
      <c r="T1479" s="174" t="str">
        <f ca="1">IF(B1479="","",IF(ISERROR(MATCH($J1479,SorP!$B$1:$B$6279,0)),"",INDIRECT("'SorP'!$A$"&amp;MATCH($S1479&amp;$J1479,SorP!C:C,0))))</f>
        <v/>
      </c>
      <c r="U1479" s="194"/>
      <c r="V1479" s="218" t="e">
        <f>IF(C1479="",NA(),IF(OR(C1479="Smelter not listed",C1479="Smelter not yet identified"),MATCH($B1479&amp;$D1479,'Smelter Look-up'!$J:$J,0),MATCH($B1479&amp;$C1479,'Smelter Look-up'!$J:$J,0)))</f>
        <v>#N/A</v>
      </c>
      <c r="X1479" s="219">
        <f t="shared" ca="1" si="211"/>
        <v>0</v>
      </c>
      <c r="AB1479" s="220" t="str">
        <f t="shared" si="212"/>
        <v/>
      </c>
    </row>
    <row r="1480" spans="1:28" s="219" customFormat="1" ht="20.25">
      <c r="A1480" s="174"/>
      <c r="B1480" s="175" t="str">
        <f>IF(LEN(A1480)=0,"",INDEX('Smelter Look-up'!$A:$A,MATCH($A1480,'Smelter Look-up'!$E:$E,0)))</f>
        <v/>
      </c>
      <c r="C1480" s="179" t="str">
        <f>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10"/>
        <v/>
      </c>
      <c r="T1480" s="174" t="str">
        <f ca="1">IF(B1480="","",IF(ISERROR(MATCH($J1480,SorP!$B$1:$B$6279,0)),"",INDIRECT("'SorP'!$A$"&amp;MATCH($S1480&amp;$J1480,SorP!C:C,0))))</f>
        <v/>
      </c>
      <c r="U1480" s="194"/>
      <c r="V1480" s="218" t="e">
        <f>IF(C1480="",NA(),IF(OR(C1480="Smelter not listed",C1480="Smelter not yet identified"),MATCH($B1480&amp;$D1480,'Smelter Look-up'!$J:$J,0),MATCH($B1480&amp;$C1480,'Smelter Look-up'!$J:$J,0)))</f>
        <v>#N/A</v>
      </c>
      <c r="X1480" s="219">
        <f t="shared" ca="1" si="211"/>
        <v>0</v>
      </c>
      <c r="AB1480" s="220" t="str">
        <f t="shared" si="212"/>
        <v/>
      </c>
    </row>
    <row r="1481" spans="1:28" s="219" customFormat="1" ht="20.25">
      <c r="A1481" s="174"/>
      <c r="B1481" s="175" t="str">
        <f>IF(LEN(A1481)=0,"",INDEX('Smelter Look-up'!$A:$A,MATCH($A1481,'Smelter Look-up'!$E:$E,0)))</f>
        <v/>
      </c>
      <c r="C1481" s="179" t="str">
        <f>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10"/>
        <v/>
      </c>
      <c r="T1481" s="174" t="str">
        <f ca="1">IF(B1481="","",IF(ISERROR(MATCH($J1481,SorP!$B$1:$B$6279,0)),"",INDIRECT("'SorP'!$A$"&amp;MATCH($S1481&amp;$J1481,SorP!C:C,0))))</f>
        <v/>
      </c>
      <c r="U1481" s="194"/>
      <c r="V1481" s="218" t="e">
        <f>IF(C1481="",NA(),IF(OR(C1481="Smelter not listed",C1481="Smelter not yet identified"),MATCH($B1481&amp;$D1481,'Smelter Look-up'!$J:$J,0),MATCH($B1481&amp;$C1481,'Smelter Look-up'!$J:$J,0)))</f>
        <v>#N/A</v>
      </c>
      <c r="X1481" s="219">
        <f t="shared" ca="1" si="211"/>
        <v>0</v>
      </c>
      <c r="AB1481" s="220" t="str">
        <f t="shared" si="212"/>
        <v/>
      </c>
    </row>
    <row r="1482" spans="1:28" s="219" customFormat="1" ht="20.25">
      <c r="A1482" s="174"/>
      <c r="B1482" s="175" t="str">
        <f>IF(LEN(A1482)=0,"",INDEX('Smelter Look-up'!$A:$A,MATCH($A1482,'Smelter Look-up'!$E:$E,0)))</f>
        <v/>
      </c>
      <c r="C1482" s="179" t="str">
        <f>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10"/>
        <v/>
      </c>
      <c r="T1482" s="174" t="str">
        <f ca="1">IF(B1482="","",IF(ISERROR(MATCH($J1482,SorP!$B$1:$B$6279,0)),"",INDIRECT("'SorP'!$A$"&amp;MATCH($S1482&amp;$J1482,SorP!C:C,0))))</f>
        <v/>
      </c>
      <c r="U1482" s="194"/>
      <c r="V1482" s="218" t="e">
        <f>IF(C1482="",NA(),IF(OR(C1482="Smelter not listed",C1482="Smelter not yet identified"),MATCH($B1482&amp;$D1482,'Smelter Look-up'!$J:$J,0),MATCH($B1482&amp;$C1482,'Smelter Look-up'!$J:$J,0)))</f>
        <v>#N/A</v>
      </c>
      <c r="X1482" s="219">
        <f t="shared" ca="1" si="211"/>
        <v>0</v>
      </c>
      <c r="AB1482" s="220" t="str">
        <f t="shared" si="212"/>
        <v/>
      </c>
    </row>
    <row r="1483" spans="1:28" s="219" customFormat="1" ht="20.25">
      <c r="A1483" s="174"/>
      <c r="B1483" s="175" t="str">
        <f>IF(LEN(A1483)=0,"",INDEX('Smelter Look-up'!$A:$A,MATCH($A1483,'Smelter Look-up'!$E:$E,0)))</f>
        <v/>
      </c>
      <c r="C1483" s="179" t="str">
        <f>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10"/>
        <v/>
      </c>
      <c r="T1483" s="174" t="str">
        <f ca="1">IF(B1483="","",IF(ISERROR(MATCH($J1483,SorP!$B$1:$B$6279,0)),"",INDIRECT("'SorP'!$A$"&amp;MATCH($S1483&amp;$J1483,SorP!C:C,0))))</f>
        <v/>
      </c>
      <c r="U1483" s="194"/>
      <c r="V1483" s="218" t="e">
        <f>IF(C1483="",NA(),IF(OR(C1483="Smelter not listed",C1483="Smelter not yet identified"),MATCH($B1483&amp;$D1483,'Smelter Look-up'!$J:$J,0),MATCH($B1483&amp;$C1483,'Smelter Look-up'!$J:$J,0)))</f>
        <v>#N/A</v>
      </c>
      <c r="X1483" s="219">
        <f t="shared" ca="1" si="211"/>
        <v>0</v>
      </c>
      <c r="AB1483" s="220" t="str">
        <f t="shared" si="212"/>
        <v/>
      </c>
    </row>
    <row r="1484" spans="1:28" s="219" customFormat="1" ht="20.25">
      <c r="A1484" s="174"/>
      <c r="B1484" s="175" t="str">
        <f>IF(LEN(A1484)=0,"",INDEX('Smelter Look-up'!$A:$A,MATCH($A1484,'Smelter Look-up'!$E:$E,0)))</f>
        <v/>
      </c>
      <c r="C1484" s="179" t="str">
        <f>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10"/>
        <v/>
      </c>
      <c r="T1484" s="174" t="str">
        <f ca="1">IF(B1484="","",IF(ISERROR(MATCH($J1484,SorP!$B$1:$B$6279,0)),"",INDIRECT("'SorP'!$A$"&amp;MATCH($S1484&amp;$J1484,SorP!C:C,0))))</f>
        <v/>
      </c>
      <c r="U1484" s="194"/>
      <c r="V1484" s="218" t="e">
        <f>IF(C1484="",NA(),IF(OR(C1484="Smelter not listed",C1484="Smelter not yet identified"),MATCH($B1484&amp;$D1484,'Smelter Look-up'!$J:$J,0),MATCH($B1484&amp;$C1484,'Smelter Look-up'!$J:$J,0)))</f>
        <v>#N/A</v>
      </c>
      <c r="X1484" s="219">
        <f t="shared" ca="1" si="211"/>
        <v>0</v>
      </c>
      <c r="AB1484" s="220" t="str">
        <f t="shared" si="212"/>
        <v/>
      </c>
    </row>
    <row r="1485" spans="1:28" s="219" customFormat="1" ht="20.25">
      <c r="A1485" s="174"/>
      <c r="B1485" s="175" t="str">
        <f>IF(LEN(A1485)=0,"",INDEX('Smelter Look-up'!$A:$A,MATCH($A1485,'Smelter Look-up'!$E:$E,0)))</f>
        <v/>
      </c>
      <c r="C1485" s="179" t="str">
        <f>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10"/>
        <v/>
      </c>
      <c r="T1485" s="174" t="str">
        <f ca="1">IF(B1485="","",IF(ISERROR(MATCH($J1485,SorP!$B$1:$B$6279,0)),"",INDIRECT("'SorP'!$A$"&amp;MATCH($S1485&amp;$J1485,SorP!C:C,0))))</f>
        <v/>
      </c>
      <c r="U1485" s="194"/>
      <c r="V1485" s="218" t="e">
        <f>IF(C1485="",NA(),IF(OR(C1485="Smelter not listed",C1485="Smelter not yet identified"),MATCH($B1485&amp;$D1485,'Smelter Look-up'!$J:$J,0),MATCH($B1485&amp;$C1485,'Smelter Look-up'!$J:$J,0)))</f>
        <v>#N/A</v>
      </c>
      <c r="X1485" s="219">
        <f t="shared" ca="1" si="211"/>
        <v>0</v>
      </c>
      <c r="AB1485" s="220" t="str">
        <f t="shared" si="212"/>
        <v/>
      </c>
    </row>
    <row r="1486" spans="1:28" s="219" customFormat="1" ht="20.25">
      <c r="A1486" s="174"/>
      <c r="B1486" s="175" t="str">
        <f>IF(LEN(A1486)=0,"",INDEX('Smelter Look-up'!$A:$A,MATCH($A1486,'Smelter Look-up'!$E:$E,0)))</f>
        <v/>
      </c>
      <c r="C1486" s="179" t="str">
        <f>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10"/>
        <v/>
      </c>
      <c r="T1486" s="174" t="str">
        <f ca="1">IF(B1486="","",IF(ISERROR(MATCH($J1486,SorP!$B$1:$B$6279,0)),"",INDIRECT("'SorP'!$A$"&amp;MATCH($S1486&amp;$J1486,SorP!C:C,0))))</f>
        <v/>
      </c>
      <c r="U1486" s="194"/>
      <c r="V1486" s="218" t="e">
        <f>IF(C1486="",NA(),IF(OR(C1486="Smelter not listed",C1486="Smelter not yet identified"),MATCH($B1486&amp;$D1486,'Smelter Look-up'!$J:$J,0),MATCH($B1486&amp;$C1486,'Smelter Look-up'!$J:$J,0)))</f>
        <v>#N/A</v>
      </c>
      <c r="X1486" s="219">
        <f t="shared" ca="1" si="211"/>
        <v>0</v>
      </c>
      <c r="AB1486" s="220" t="str">
        <f t="shared" si="212"/>
        <v/>
      </c>
    </row>
    <row r="1487" spans="1:28" s="219" customFormat="1" ht="20.25">
      <c r="A1487" s="174"/>
      <c r="B1487" s="175" t="str">
        <f>IF(LEN(A1487)=0,"",INDEX('Smelter Look-up'!$A:$A,MATCH($A1487,'Smelter Look-up'!$E:$E,0)))</f>
        <v/>
      </c>
      <c r="C1487" s="179" t="str">
        <f>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10"/>
        <v/>
      </c>
      <c r="T1487" s="174" t="str">
        <f ca="1">IF(B1487="","",IF(ISERROR(MATCH($J1487,SorP!$B$1:$B$6279,0)),"",INDIRECT("'SorP'!$A$"&amp;MATCH($S1487&amp;$J1487,SorP!C:C,0))))</f>
        <v/>
      </c>
      <c r="U1487" s="194"/>
      <c r="V1487" s="218" t="e">
        <f>IF(C1487="",NA(),IF(OR(C1487="Smelter not listed",C1487="Smelter not yet identified"),MATCH($B1487&amp;$D1487,'Smelter Look-up'!$J:$J,0),MATCH($B1487&amp;$C1487,'Smelter Look-up'!$J:$J,0)))</f>
        <v>#N/A</v>
      </c>
      <c r="X1487" s="219">
        <f t="shared" ca="1" si="211"/>
        <v>0</v>
      </c>
      <c r="AB1487" s="220" t="str">
        <f t="shared" si="212"/>
        <v/>
      </c>
    </row>
    <row r="1488" spans="1:28" s="219" customFormat="1" ht="20.25">
      <c r="A1488" s="174"/>
      <c r="B1488" s="175" t="str">
        <f>IF(LEN(A1488)=0,"",INDEX('Smelter Look-up'!$A:$A,MATCH($A1488,'Smelter Look-up'!$E:$E,0)))</f>
        <v/>
      </c>
      <c r="C1488" s="179" t="str">
        <f>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10"/>
        <v/>
      </c>
      <c r="T1488" s="174" t="str">
        <f ca="1">IF(B1488="","",IF(ISERROR(MATCH($J1488,SorP!$B$1:$B$6279,0)),"",INDIRECT("'SorP'!$A$"&amp;MATCH($S1488&amp;$J1488,SorP!C:C,0))))</f>
        <v/>
      </c>
      <c r="U1488" s="194"/>
      <c r="V1488" s="218" t="e">
        <f>IF(C1488="",NA(),IF(OR(C1488="Smelter not listed",C1488="Smelter not yet identified"),MATCH($B1488&amp;$D1488,'Smelter Look-up'!$J:$J,0),MATCH($B1488&amp;$C1488,'Smelter Look-up'!$J:$J,0)))</f>
        <v>#N/A</v>
      </c>
      <c r="X1488" s="219">
        <f t="shared" ca="1" si="211"/>
        <v>0</v>
      </c>
      <c r="AB1488" s="220" t="str">
        <f t="shared" si="212"/>
        <v/>
      </c>
    </row>
    <row r="1489" spans="1:28" s="219" customFormat="1" ht="20.25">
      <c r="A1489" s="174"/>
      <c r="B1489" s="175" t="str">
        <f>IF(LEN(A1489)=0,"",INDEX('Smelter Look-up'!$A:$A,MATCH($A1489,'Smelter Look-up'!$E:$E,0)))</f>
        <v/>
      </c>
      <c r="C1489" s="179" t="str">
        <f>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10"/>
        <v/>
      </c>
      <c r="T1489" s="174" t="str">
        <f ca="1">IF(B1489="","",IF(ISERROR(MATCH($J1489,SorP!$B$1:$B$6279,0)),"",INDIRECT("'SorP'!$A$"&amp;MATCH($S1489&amp;$J1489,SorP!C:C,0))))</f>
        <v/>
      </c>
      <c r="U1489" s="194"/>
      <c r="V1489" s="218" t="e">
        <f>IF(C1489="",NA(),IF(OR(C1489="Smelter not listed",C1489="Smelter not yet identified"),MATCH($B1489&amp;$D1489,'Smelter Look-up'!$J:$J,0),MATCH($B1489&amp;$C1489,'Smelter Look-up'!$J:$J,0)))</f>
        <v>#N/A</v>
      </c>
      <c r="X1489" s="219">
        <f t="shared" ca="1" si="211"/>
        <v>0</v>
      </c>
      <c r="AB1489" s="220" t="str">
        <f t="shared" si="212"/>
        <v/>
      </c>
    </row>
    <row r="1490" spans="1:28" s="219" customFormat="1" ht="20.25">
      <c r="A1490" s="174"/>
      <c r="B1490" s="175" t="str">
        <f>IF(LEN(A1490)=0,"",INDEX('Smelter Look-up'!$A:$A,MATCH($A1490,'Smelter Look-up'!$E:$E,0)))</f>
        <v/>
      </c>
      <c r="C1490" s="179" t="str">
        <f>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210"/>
        <v/>
      </c>
      <c r="T1490" s="174" t="str">
        <f ca="1">IF(B1490="","",IF(ISERROR(MATCH($J1490,SorP!$B$1:$B$6279,0)),"",INDIRECT("'SorP'!$A$"&amp;MATCH($S1490&amp;$J1490,SorP!C:C,0))))</f>
        <v/>
      </c>
      <c r="U1490" s="194"/>
      <c r="V1490" s="218" t="e">
        <f>IF(C1490="",NA(),IF(OR(C1490="Smelter not listed",C1490="Smelter not yet identified"),MATCH($B1490&amp;$D1490,'Smelter Look-up'!$J:$J,0),MATCH($B1490&amp;$C1490,'Smelter Look-up'!$J:$J,0)))</f>
        <v>#N/A</v>
      </c>
      <c r="X1490" s="219">
        <f t="shared" ca="1" si="211"/>
        <v>0</v>
      </c>
      <c r="AB1490" s="220" t="str">
        <f t="shared" si="212"/>
        <v/>
      </c>
    </row>
    <row r="1491" spans="1:28" s="219" customFormat="1" ht="20.25">
      <c r="A1491" s="174"/>
      <c r="B1491" s="175" t="str">
        <f>IF(LEN(A1491)=0,"",INDEX('Smelter Look-up'!$A:$A,MATCH($A1491,'Smelter Look-up'!$E:$E,0)))</f>
        <v/>
      </c>
      <c r="C1491" s="179" t="str">
        <f>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210"/>
        <v/>
      </c>
      <c r="T1491" s="174" t="str">
        <f ca="1">IF(B1491="","",IF(ISERROR(MATCH($J1491,SorP!$B$1:$B$6279,0)),"",INDIRECT("'SorP'!$A$"&amp;MATCH($S1491&amp;$J1491,SorP!C:C,0))))</f>
        <v/>
      </c>
      <c r="U1491" s="194"/>
      <c r="V1491" s="218" t="e">
        <f>IF(C1491="",NA(),IF(OR(C1491="Smelter not listed",C1491="Smelter not yet identified"),MATCH($B1491&amp;$D1491,'Smelter Look-up'!$J:$J,0),MATCH($B1491&amp;$C1491,'Smelter Look-up'!$J:$J,0)))</f>
        <v>#N/A</v>
      </c>
      <c r="X1491" s="219">
        <f t="shared" ca="1" si="211"/>
        <v>0</v>
      </c>
      <c r="AB1491" s="220" t="str">
        <f t="shared" si="212"/>
        <v/>
      </c>
    </row>
    <row r="1492" spans="1:28" s="219" customFormat="1" ht="20.25">
      <c r="A1492" s="174"/>
      <c r="B1492" s="175" t="str">
        <f>IF(LEN(A1492)=0,"",INDEX('Smelter Look-up'!$A:$A,MATCH($A1492,'Smelter Look-up'!$E:$E,0)))</f>
        <v/>
      </c>
      <c r="C1492" s="179" t="str">
        <f>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10"/>
        <v/>
      </c>
      <c r="T1492" s="174" t="str">
        <f ca="1">IF(B1492="","",IF(ISERROR(MATCH($J1492,SorP!$B$1:$B$6279,0)),"",INDIRECT("'SorP'!$A$"&amp;MATCH($S1492&amp;$J1492,SorP!C:C,0))))</f>
        <v/>
      </c>
      <c r="U1492" s="194"/>
      <c r="V1492" s="218" t="e">
        <f>IF(C1492="",NA(),IF(OR(C1492="Smelter not listed",C1492="Smelter not yet identified"),MATCH($B1492&amp;$D1492,'Smelter Look-up'!$J:$J,0),MATCH($B1492&amp;$C1492,'Smelter Look-up'!$J:$J,0)))</f>
        <v>#N/A</v>
      </c>
      <c r="X1492" s="219">
        <f t="shared" ca="1" si="211"/>
        <v>0</v>
      </c>
      <c r="AB1492" s="220" t="str">
        <f t="shared" si="212"/>
        <v/>
      </c>
    </row>
    <row r="1493" spans="1:28" s="219" customFormat="1" ht="20.25">
      <c r="A1493" s="174"/>
      <c r="B1493" s="175" t="str">
        <f>IF(LEN(A1493)=0,"",INDEX('Smelter Look-up'!$A:$A,MATCH($A1493,'Smelter Look-up'!$E:$E,0)))</f>
        <v/>
      </c>
      <c r="C1493" s="179" t="str">
        <f>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10"/>
        <v/>
      </c>
      <c r="T1493" s="174" t="str">
        <f ca="1">IF(B1493="","",IF(ISERROR(MATCH($J1493,SorP!$B$1:$B$6279,0)),"",INDIRECT("'SorP'!$A$"&amp;MATCH($S1493&amp;$J1493,SorP!C:C,0))))</f>
        <v/>
      </c>
      <c r="U1493" s="194"/>
      <c r="V1493" s="218" t="e">
        <f>IF(C1493="",NA(),IF(OR(C1493="Smelter not listed",C1493="Smelter not yet identified"),MATCH($B1493&amp;$D1493,'Smelter Look-up'!$J:$J,0),MATCH($B1493&amp;$C1493,'Smelter Look-up'!$J:$J,0)))</f>
        <v>#N/A</v>
      </c>
      <c r="X1493" s="219">
        <f t="shared" ca="1" si="211"/>
        <v>0</v>
      </c>
      <c r="AB1493" s="220" t="str">
        <f t="shared" si="212"/>
        <v/>
      </c>
    </row>
    <row r="1494" spans="1:28" s="219" customFormat="1" ht="20.25">
      <c r="A1494" s="174"/>
      <c r="B1494" s="175" t="str">
        <f>IF(LEN(A1494)=0,"",INDEX('Smelter Look-up'!$A:$A,MATCH($A1494,'Smelter Look-up'!$E:$E,0)))</f>
        <v/>
      </c>
      <c r="C1494" s="179" t="str">
        <f>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10"/>
        <v/>
      </c>
      <c r="T1494" s="174" t="str">
        <f ca="1">IF(B1494="","",IF(ISERROR(MATCH($J1494,SorP!$B$1:$B$6279,0)),"",INDIRECT("'SorP'!$A$"&amp;MATCH($S1494&amp;$J1494,SorP!C:C,0))))</f>
        <v/>
      </c>
      <c r="U1494" s="194"/>
      <c r="V1494" s="218" t="e">
        <f>IF(C1494="",NA(),IF(OR(C1494="Smelter not listed",C1494="Smelter not yet identified"),MATCH($B1494&amp;$D1494,'Smelter Look-up'!$J:$J,0),MATCH($B1494&amp;$C1494,'Smelter Look-up'!$J:$J,0)))</f>
        <v>#N/A</v>
      </c>
      <c r="X1494" s="219">
        <f t="shared" ca="1" si="211"/>
        <v>0</v>
      </c>
      <c r="AB1494" s="220" t="str">
        <f t="shared" si="212"/>
        <v/>
      </c>
    </row>
    <row r="1495" spans="1:28" s="219" customFormat="1" ht="20.25">
      <c r="A1495" s="174"/>
      <c r="B1495" s="175" t="str">
        <f>IF(LEN(A1495)=0,"",INDEX('Smelter Look-up'!$A:$A,MATCH($A1495,'Smelter Look-up'!$E:$E,0)))</f>
        <v/>
      </c>
      <c r="C1495" s="179" t="str">
        <f>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10"/>
        <v/>
      </c>
      <c r="T1495" s="174" t="str">
        <f ca="1">IF(B1495="","",IF(ISERROR(MATCH($J1495,SorP!$B$1:$B$6279,0)),"",INDIRECT("'SorP'!$A$"&amp;MATCH($S1495&amp;$J1495,SorP!C:C,0))))</f>
        <v/>
      </c>
      <c r="U1495" s="194"/>
      <c r="V1495" s="218" t="e">
        <f>IF(C1495="",NA(),IF(OR(C1495="Smelter not listed",C1495="Smelter not yet identified"),MATCH($B1495&amp;$D1495,'Smelter Look-up'!$J:$J,0),MATCH($B1495&amp;$C1495,'Smelter Look-up'!$J:$J,0)))</f>
        <v>#N/A</v>
      </c>
      <c r="X1495" s="219">
        <f t="shared" ca="1" si="211"/>
        <v>0</v>
      </c>
      <c r="AB1495" s="220" t="str">
        <f t="shared" si="212"/>
        <v/>
      </c>
    </row>
    <row r="1496" spans="1:28" s="219" customFormat="1" ht="20.25">
      <c r="A1496" s="174"/>
      <c r="B1496" s="175" t="str">
        <f>IF(LEN(A1496)=0,"",INDEX('Smelter Look-up'!$A:$A,MATCH($A1496,'Smelter Look-up'!$E:$E,0)))</f>
        <v/>
      </c>
      <c r="C1496" s="179" t="str">
        <f>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10"/>
        <v/>
      </c>
      <c r="T1496" s="174" t="str">
        <f ca="1">IF(B1496="","",IF(ISERROR(MATCH($J1496,SorP!$B$1:$B$6279,0)),"",INDIRECT("'SorP'!$A$"&amp;MATCH($S1496&amp;$J1496,SorP!C:C,0))))</f>
        <v/>
      </c>
      <c r="U1496" s="194"/>
      <c r="V1496" s="218" t="e">
        <f>IF(C1496="",NA(),IF(OR(C1496="Smelter not listed",C1496="Smelter not yet identified"),MATCH($B1496&amp;$D1496,'Smelter Look-up'!$J:$J,0),MATCH($B1496&amp;$C1496,'Smelter Look-up'!$J:$J,0)))</f>
        <v>#N/A</v>
      </c>
      <c r="X1496" s="219">
        <f t="shared" ca="1" si="211"/>
        <v>0</v>
      </c>
      <c r="AB1496" s="220" t="str">
        <f t="shared" si="212"/>
        <v/>
      </c>
    </row>
    <row r="1497" spans="1:28" s="219" customFormat="1" ht="20.25">
      <c r="A1497" s="174"/>
      <c r="B1497" s="175" t="str">
        <f>IF(LEN(A1497)=0,"",INDEX('Smelter Look-up'!$A:$A,MATCH($A1497,'Smelter Look-up'!$E:$E,0)))</f>
        <v/>
      </c>
      <c r="C1497" s="179" t="str">
        <f>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10"/>
        <v/>
      </c>
      <c r="T1497" s="174" t="str">
        <f ca="1">IF(B1497="","",IF(ISERROR(MATCH($J1497,SorP!$B$1:$B$6279,0)),"",INDIRECT("'SorP'!$A$"&amp;MATCH($S1497&amp;$J1497,SorP!C:C,0))))</f>
        <v/>
      </c>
      <c r="U1497" s="194"/>
      <c r="V1497" s="218" t="e">
        <f>IF(C1497="",NA(),IF(OR(C1497="Smelter not listed",C1497="Smelter not yet identified"),MATCH($B1497&amp;$D1497,'Smelter Look-up'!$J:$J,0),MATCH($B1497&amp;$C1497,'Smelter Look-up'!$J:$J,0)))</f>
        <v>#N/A</v>
      </c>
      <c r="X1497" s="219">
        <f t="shared" ca="1" si="211"/>
        <v>0</v>
      </c>
      <c r="AB1497" s="220" t="str">
        <f t="shared" si="212"/>
        <v/>
      </c>
    </row>
    <row r="1498" spans="1:28" s="219" customFormat="1" ht="20.25">
      <c r="A1498" s="174"/>
      <c r="B1498" s="175" t="str">
        <f>IF(LEN(A1498)=0,"",INDEX('Smelter Look-up'!$A:$A,MATCH($A1498,'Smelter Look-up'!$E:$E,0)))</f>
        <v/>
      </c>
      <c r="C1498" s="179" t="str">
        <f>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210"/>
        <v/>
      </c>
      <c r="T1498" s="174" t="str">
        <f ca="1">IF(B1498="","",IF(ISERROR(MATCH($J1498,SorP!$B$1:$B$6279,0)),"",INDIRECT("'SorP'!$A$"&amp;MATCH($S1498&amp;$J1498,SorP!C:C,0))))</f>
        <v/>
      </c>
      <c r="U1498" s="194"/>
      <c r="V1498" s="218" t="e">
        <f>IF(C1498="",NA(),IF(OR(C1498="Smelter not listed",C1498="Smelter not yet identified"),MATCH($B1498&amp;$D1498,'Smelter Look-up'!$J:$J,0),MATCH($B1498&amp;$C1498,'Smelter Look-up'!$J:$J,0)))</f>
        <v>#N/A</v>
      </c>
      <c r="X1498" s="219">
        <f t="shared" ca="1" si="211"/>
        <v>0</v>
      </c>
      <c r="AB1498" s="220" t="str">
        <f t="shared" si="212"/>
        <v/>
      </c>
    </row>
    <row r="1499" spans="1:28" s="219" customFormat="1" ht="20.25">
      <c r="A1499" s="174"/>
      <c r="B1499" s="175" t="str">
        <f>IF(LEN(A1499)=0,"",INDEX('Smelter Look-up'!$A:$A,MATCH($A1499,'Smelter Look-up'!$E:$E,0)))</f>
        <v/>
      </c>
      <c r="C1499" s="179" t="str">
        <f>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210"/>
        <v/>
      </c>
      <c r="T1499" s="174" t="str">
        <f ca="1">IF(B1499="","",IF(ISERROR(MATCH($J1499,SorP!$B$1:$B$6279,0)),"",INDIRECT("'SorP'!$A$"&amp;MATCH($S1499&amp;$J1499,SorP!C:C,0))))</f>
        <v/>
      </c>
      <c r="U1499" s="194"/>
      <c r="V1499" s="218" t="e">
        <f>IF(C1499="",NA(),IF(OR(C1499="Smelter not listed",C1499="Smelter not yet identified"),MATCH($B1499&amp;$D1499,'Smelter Look-up'!$J:$J,0),MATCH($B1499&amp;$C1499,'Smelter Look-up'!$J:$J,0)))</f>
        <v>#N/A</v>
      </c>
      <c r="X1499" s="219">
        <f t="shared" ca="1" si="211"/>
        <v>0</v>
      </c>
      <c r="AB1499" s="220" t="str">
        <f t="shared" si="212"/>
        <v/>
      </c>
    </row>
    <row r="1500" spans="1:28" s="219" customFormat="1" ht="20.25">
      <c r="A1500" s="174"/>
      <c r="B1500" s="175" t="str">
        <f>IF(LEN(A1500)=0,"",INDEX('Smelter Look-up'!$A:$A,MATCH($A1500,'Smelter Look-up'!$E:$E,0)))</f>
        <v/>
      </c>
      <c r="C1500" s="179" t="str">
        <f>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ref="S1500:S1530" ca="1" si="213">IF(B1500="","",IF(ISERROR(MATCH($E1500,CL,0)),"Unknown",INDIRECT("'C'!$A$"&amp;MATCH($E1500,CL,0)+1)))</f>
        <v/>
      </c>
      <c r="T1500" s="174" t="str">
        <f ca="1">IF(B1500="","",IF(ISERROR(MATCH($J1500,SorP!$B$1:$B$6279,0)),"",INDIRECT("'SorP'!$A$"&amp;MATCH($S1500&amp;$J1500,SorP!C:C,0))))</f>
        <v/>
      </c>
      <c r="U1500" s="194"/>
      <c r="V1500" s="218" t="e">
        <f>IF(C1500="",NA(),IF(OR(C1500="Smelter not listed",C1500="Smelter not yet identified"),MATCH($B1500&amp;$D1500,'Smelter Look-up'!$J:$J,0),MATCH($B1500&amp;$C1500,'Smelter Look-up'!$J:$J,0)))</f>
        <v>#N/A</v>
      </c>
      <c r="X1500" s="219">
        <f t="shared" ref="X1500:X1530" ca="1" si="214">IF(AND(C1500="Smelter not listed",OR(LEN(D1500)=0,LEN(E1500)=0)),1,0)</f>
        <v>0</v>
      </c>
      <c r="AB1500" s="220" t="str">
        <f t="shared" ref="AB1500:AB1530" si="215">B1500&amp;C1500</f>
        <v/>
      </c>
    </row>
    <row r="1501" spans="1:28" s="219" customFormat="1" ht="20.25">
      <c r="A1501" s="174"/>
      <c r="B1501" s="175" t="str">
        <f>IF(LEN(A1501)=0,"",INDEX('Smelter Look-up'!$A:$A,MATCH($A1501,'Smelter Look-up'!$E:$E,0)))</f>
        <v/>
      </c>
      <c r="C1501" s="179" t="str">
        <f>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13"/>
        <v/>
      </c>
      <c r="T1501" s="174" t="str">
        <f ca="1">IF(B1501="","",IF(ISERROR(MATCH($J1501,SorP!$B$1:$B$6279,0)),"",INDIRECT("'SorP'!$A$"&amp;MATCH($S1501&amp;$J1501,SorP!C:C,0))))</f>
        <v/>
      </c>
      <c r="U1501" s="194"/>
      <c r="V1501" s="218" t="e">
        <f>IF(C1501="",NA(),IF(OR(C1501="Smelter not listed",C1501="Smelter not yet identified"),MATCH($B1501&amp;$D1501,'Smelter Look-up'!$J:$J,0),MATCH($B1501&amp;$C1501,'Smelter Look-up'!$J:$J,0)))</f>
        <v>#N/A</v>
      </c>
      <c r="X1501" s="219">
        <f t="shared" ca="1" si="214"/>
        <v>0</v>
      </c>
      <c r="AB1501" s="220" t="str">
        <f t="shared" si="215"/>
        <v/>
      </c>
    </row>
    <row r="1502" spans="1:28" s="219" customFormat="1" ht="20.25">
      <c r="A1502" s="174"/>
      <c r="B1502" s="175" t="str">
        <f>IF(LEN(A1502)=0,"",INDEX('Smelter Look-up'!$A:$A,MATCH($A1502,'Smelter Look-up'!$E:$E,0)))</f>
        <v/>
      </c>
      <c r="C1502" s="179" t="str">
        <f>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13"/>
        <v/>
      </c>
      <c r="T1502" s="174" t="str">
        <f ca="1">IF(B1502="","",IF(ISERROR(MATCH($J1502,SorP!$B$1:$B$6279,0)),"",INDIRECT("'SorP'!$A$"&amp;MATCH($S1502&amp;$J1502,SorP!C:C,0))))</f>
        <v/>
      </c>
      <c r="U1502" s="194"/>
      <c r="V1502" s="218" t="e">
        <f>IF(C1502="",NA(),IF(OR(C1502="Smelter not listed",C1502="Smelter not yet identified"),MATCH($B1502&amp;$D1502,'Smelter Look-up'!$J:$J,0),MATCH($B1502&amp;$C1502,'Smelter Look-up'!$J:$J,0)))</f>
        <v>#N/A</v>
      </c>
      <c r="X1502" s="219">
        <f t="shared" ca="1" si="214"/>
        <v>0</v>
      </c>
      <c r="AB1502" s="220" t="str">
        <f t="shared" si="215"/>
        <v/>
      </c>
    </row>
    <row r="1503" spans="1:28" s="219" customFormat="1" ht="20.25">
      <c r="A1503" s="174"/>
      <c r="B1503" s="175" t="str">
        <f>IF(LEN(A1503)=0,"",INDEX('Smelter Look-up'!$A:$A,MATCH($A1503,'Smelter Look-up'!$E:$E,0)))</f>
        <v/>
      </c>
      <c r="C1503" s="179" t="str">
        <f>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13"/>
        <v/>
      </c>
      <c r="T1503" s="174" t="str">
        <f ca="1">IF(B1503="","",IF(ISERROR(MATCH($J1503,SorP!$B$1:$B$6279,0)),"",INDIRECT("'SorP'!$A$"&amp;MATCH($S1503&amp;$J1503,SorP!C:C,0))))</f>
        <v/>
      </c>
      <c r="U1503" s="194"/>
      <c r="V1503" s="218" t="e">
        <f>IF(C1503="",NA(),IF(OR(C1503="Smelter not listed",C1503="Smelter not yet identified"),MATCH($B1503&amp;$D1503,'Smelter Look-up'!$J:$J,0),MATCH($B1503&amp;$C1503,'Smelter Look-up'!$J:$J,0)))</f>
        <v>#N/A</v>
      </c>
      <c r="X1503" s="219">
        <f t="shared" ca="1" si="214"/>
        <v>0</v>
      </c>
      <c r="AB1503" s="220" t="str">
        <f t="shared" si="215"/>
        <v/>
      </c>
    </row>
    <row r="1504" spans="1:28" s="219" customFormat="1" ht="20.25">
      <c r="A1504" s="174"/>
      <c r="B1504" s="175" t="str">
        <f>IF(LEN(A1504)=0,"",INDEX('Smelter Look-up'!$A:$A,MATCH($A1504,'Smelter Look-up'!$E:$E,0)))</f>
        <v/>
      </c>
      <c r="C1504" s="179" t="str">
        <f>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13"/>
        <v/>
      </c>
      <c r="T1504" s="174" t="str">
        <f ca="1">IF(B1504="","",IF(ISERROR(MATCH($J1504,SorP!$B$1:$B$6279,0)),"",INDIRECT("'SorP'!$A$"&amp;MATCH($S1504&amp;$J1504,SorP!C:C,0))))</f>
        <v/>
      </c>
      <c r="U1504" s="194"/>
      <c r="V1504" s="218" t="e">
        <f>IF(C1504="",NA(),IF(OR(C1504="Smelter not listed",C1504="Smelter not yet identified"),MATCH($B1504&amp;$D1504,'Smelter Look-up'!$J:$J,0),MATCH($B1504&amp;$C1504,'Smelter Look-up'!$J:$J,0)))</f>
        <v>#N/A</v>
      </c>
      <c r="X1504" s="219">
        <f t="shared" ca="1" si="214"/>
        <v>0</v>
      </c>
      <c r="AB1504" s="220" t="str">
        <f t="shared" si="215"/>
        <v/>
      </c>
    </row>
    <row r="1505" spans="1:28" s="219" customFormat="1" ht="20.25">
      <c r="A1505" s="174"/>
      <c r="B1505" s="175" t="str">
        <f>IF(LEN(A1505)=0,"",INDEX('Smelter Look-up'!$A:$A,MATCH($A1505,'Smelter Look-up'!$E:$E,0)))</f>
        <v/>
      </c>
      <c r="C1505" s="179" t="str">
        <f>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13"/>
        <v/>
      </c>
      <c r="T1505" s="174" t="str">
        <f ca="1">IF(B1505="","",IF(ISERROR(MATCH($J1505,SorP!$B$1:$B$6279,0)),"",INDIRECT("'SorP'!$A$"&amp;MATCH($S1505&amp;$J1505,SorP!C:C,0))))</f>
        <v/>
      </c>
      <c r="U1505" s="194"/>
      <c r="V1505" s="218" t="e">
        <f>IF(C1505="",NA(),IF(OR(C1505="Smelter not listed",C1505="Smelter not yet identified"),MATCH($B1505&amp;$D1505,'Smelter Look-up'!$J:$J,0),MATCH($B1505&amp;$C1505,'Smelter Look-up'!$J:$J,0)))</f>
        <v>#N/A</v>
      </c>
      <c r="X1505" s="219">
        <f t="shared" ca="1" si="214"/>
        <v>0</v>
      </c>
      <c r="AB1505" s="220" t="str">
        <f t="shared" si="215"/>
        <v/>
      </c>
    </row>
    <row r="1506" spans="1:28" s="219" customFormat="1" ht="20.25">
      <c r="A1506" s="174"/>
      <c r="B1506" s="175" t="str">
        <f>IF(LEN(A1506)=0,"",INDEX('Smelter Look-up'!$A:$A,MATCH($A1506,'Smelter Look-up'!$E:$E,0)))</f>
        <v/>
      </c>
      <c r="C1506" s="179" t="str">
        <f>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13"/>
        <v/>
      </c>
      <c r="T1506" s="174" t="str">
        <f ca="1">IF(B1506="","",IF(ISERROR(MATCH($J1506,SorP!$B$1:$B$6279,0)),"",INDIRECT("'SorP'!$A$"&amp;MATCH($S1506&amp;$J1506,SorP!C:C,0))))</f>
        <v/>
      </c>
      <c r="U1506" s="194"/>
      <c r="V1506" s="218" t="e">
        <f>IF(C1506="",NA(),IF(OR(C1506="Smelter not listed",C1506="Smelter not yet identified"),MATCH($B1506&amp;$D1506,'Smelter Look-up'!$J:$J,0),MATCH($B1506&amp;$C1506,'Smelter Look-up'!$J:$J,0)))</f>
        <v>#N/A</v>
      </c>
      <c r="X1506" s="219">
        <f t="shared" ca="1" si="214"/>
        <v>0</v>
      </c>
      <c r="AB1506" s="220" t="str">
        <f t="shared" si="215"/>
        <v/>
      </c>
    </row>
    <row r="1507" spans="1:28" s="219" customFormat="1" ht="20.25">
      <c r="A1507" s="174"/>
      <c r="B1507" s="175" t="str">
        <f>IF(LEN(A1507)=0,"",INDEX('Smelter Look-up'!$A:$A,MATCH($A1507,'Smelter Look-up'!$E:$E,0)))</f>
        <v/>
      </c>
      <c r="C1507" s="179" t="str">
        <f>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13"/>
        <v/>
      </c>
      <c r="T1507" s="174" t="str">
        <f ca="1">IF(B1507="","",IF(ISERROR(MATCH($J1507,SorP!$B$1:$B$6279,0)),"",INDIRECT("'SorP'!$A$"&amp;MATCH($S1507&amp;$J1507,SorP!C:C,0))))</f>
        <v/>
      </c>
      <c r="U1507" s="194"/>
      <c r="V1507" s="218" t="e">
        <f>IF(C1507="",NA(),IF(OR(C1507="Smelter not listed",C1507="Smelter not yet identified"),MATCH($B1507&amp;$D1507,'Smelter Look-up'!$J:$J,0),MATCH($B1507&amp;$C1507,'Smelter Look-up'!$J:$J,0)))</f>
        <v>#N/A</v>
      </c>
      <c r="X1507" s="219">
        <f t="shared" ca="1" si="214"/>
        <v>0</v>
      </c>
      <c r="AB1507" s="220" t="str">
        <f t="shared" si="215"/>
        <v/>
      </c>
    </row>
    <row r="1508" spans="1:28" s="219" customFormat="1" ht="20.25">
      <c r="A1508" s="174"/>
      <c r="B1508" s="175" t="str">
        <f>IF(LEN(A1508)=0,"",INDEX('Smelter Look-up'!$A:$A,MATCH($A1508,'Smelter Look-up'!$E:$E,0)))</f>
        <v/>
      </c>
      <c r="C1508" s="179" t="str">
        <f>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13"/>
        <v/>
      </c>
      <c r="T1508" s="174" t="str">
        <f ca="1">IF(B1508="","",IF(ISERROR(MATCH($J1508,SorP!$B$1:$B$6279,0)),"",INDIRECT("'SorP'!$A$"&amp;MATCH($S1508&amp;$J1508,SorP!C:C,0))))</f>
        <v/>
      </c>
      <c r="U1508" s="194"/>
      <c r="V1508" s="218" t="e">
        <f>IF(C1508="",NA(),IF(OR(C1508="Smelter not listed",C1508="Smelter not yet identified"),MATCH($B1508&amp;$D1508,'Smelter Look-up'!$J:$J,0),MATCH($B1508&amp;$C1508,'Smelter Look-up'!$J:$J,0)))</f>
        <v>#N/A</v>
      </c>
      <c r="X1508" s="219">
        <f t="shared" ca="1" si="214"/>
        <v>0</v>
      </c>
      <c r="AB1508" s="220" t="str">
        <f t="shared" si="215"/>
        <v/>
      </c>
    </row>
    <row r="1509" spans="1:28" s="219" customFormat="1" ht="20.25">
      <c r="A1509" s="174"/>
      <c r="B1509" s="175" t="str">
        <f>IF(LEN(A1509)=0,"",INDEX('Smelter Look-up'!$A:$A,MATCH($A1509,'Smelter Look-up'!$E:$E,0)))</f>
        <v/>
      </c>
      <c r="C1509" s="179" t="str">
        <f>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13"/>
        <v/>
      </c>
      <c r="T1509" s="174" t="str">
        <f ca="1">IF(B1509="","",IF(ISERROR(MATCH($J1509,SorP!$B$1:$B$6279,0)),"",INDIRECT("'SorP'!$A$"&amp;MATCH($S1509&amp;$J1509,SorP!C:C,0))))</f>
        <v/>
      </c>
      <c r="U1509" s="194"/>
      <c r="V1509" s="218" t="e">
        <f>IF(C1509="",NA(),IF(OR(C1509="Smelter not listed",C1509="Smelter not yet identified"),MATCH($B1509&amp;$D1509,'Smelter Look-up'!$J:$J,0),MATCH($B1509&amp;$C1509,'Smelter Look-up'!$J:$J,0)))</f>
        <v>#N/A</v>
      </c>
      <c r="X1509" s="219">
        <f t="shared" ca="1" si="214"/>
        <v>0</v>
      </c>
      <c r="AB1509" s="220" t="str">
        <f t="shared" si="215"/>
        <v/>
      </c>
    </row>
    <row r="1510" spans="1:28" s="219" customFormat="1" ht="20.25">
      <c r="A1510" s="174"/>
      <c r="B1510" s="175" t="str">
        <f>IF(LEN(A1510)=0,"",INDEX('Smelter Look-up'!$A:$A,MATCH($A1510,'Smelter Look-up'!$E:$E,0)))</f>
        <v/>
      </c>
      <c r="C1510" s="179" t="str">
        <f>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13"/>
        <v/>
      </c>
      <c r="T1510" s="174" t="str">
        <f ca="1">IF(B1510="","",IF(ISERROR(MATCH($J1510,SorP!$B$1:$B$6279,0)),"",INDIRECT("'SorP'!$A$"&amp;MATCH($S1510&amp;$J1510,SorP!C:C,0))))</f>
        <v/>
      </c>
      <c r="U1510" s="194"/>
      <c r="V1510" s="218" t="e">
        <f>IF(C1510="",NA(),IF(OR(C1510="Smelter not listed",C1510="Smelter not yet identified"),MATCH($B1510&amp;$D1510,'Smelter Look-up'!$J:$J,0),MATCH($B1510&amp;$C1510,'Smelter Look-up'!$J:$J,0)))</f>
        <v>#N/A</v>
      </c>
      <c r="X1510" s="219">
        <f t="shared" ca="1" si="214"/>
        <v>0</v>
      </c>
      <c r="AB1510" s="220" t="str">
        <f t="shared" si="215"/>
        <v/>
      </c>
    </row>
    <row r="1511" spans="1:28" s="219" customFormat="1" ht="20.25">
      <c r="A1511" s="174"/>
      <c r="B1511" s="175" t="str">
        <f>IF(LEN(A1511)=0,"",INDEX('Smelter Look-up'!$A:$A,MATCH($A1511,'Smelter Look-up'!$E:$E,0)))</f>
        <v/>
      </c>
      <c r="C1511" s="179" t="str">
        <f>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13"/>
        <v/>
      </c>
      <c r="T1511" s="174" t="str">
        <f ca="1">IF(B1511="","",IF(ISERROR(MATCH($J1511,SorP!$B$1:$B$6279,0)),"",INDIRECT("'SorP'!$A$"&amp;MATCH($S1511&amp;$J1511,SorP!C:C,0))))</f>
        <v/>
      </c>
      <c r="U1511" s="194"/>
      <c r="V1511" s="218" t="e">
        <f>IF(C1511="",NA(),IF(OR(C1511="Smelter not listed",C1511="Smelter not yet identified"),MATCH($B1511&amp;$D1511,'Smelter Look-up'!$J:$J,0),MATCH($B1511&amp;$C1511,'Smelter Look-up'!$J:$J,0)))</f>
        <v>#N/A</v>
      </c>
      <c r="X1511" s="219">
        <f t="shared" ca="1" si="214"/>
        <v>0</v>
      </c>
      <c r="AB1511" s="220" t="str">
        <f t="shared" si="215"/>
        <v/>
      </c>
    </row>
    <row r="1512" spans="1:28" s="219" customFormat="1" ht="20.25">
      <c r="A1512" s="174"/>
      <c r="B1512" s="175" t="str">
        <f>IF(LEN(A1512)=0,"",INDEX('Smelter Look-up'!$A:$A,MATCH($A1512,'Smelter Look-up'!$E:$E,0)))</f>
        <v/>
      </c>
      <c r="C1512" s="179" t="str">
        <f>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13"/>
        <v/>
      </c>
      <c r="T1512" s="174" t="str">
        <f ca="1">IF(B1512="","",IF(ISERROR(MATCH($J1512,SorP!$B$1:$B$6279,0)),"",INDIRECT("'SorP'!$A$"&amp;MATCH($S1512&amp;$J1512,SorP!C:C,0))))</f>
        <v/>
      </c>
      <c r="U1512" s="194"/>
      <c r="V1512" s="218" t="e">
        <f>IF(C1512="",NA(),IF(OR(C1512="Smelter not listed",C1512="Smelter not yet identified"),MATCH($B1512&amp;$D1512,'Smelter Look-up'!$J:$J,0),MATCH($B1512&amp;$C1512,'Smelter Look-up'!$J:$J,0)))</f>
        <v>#N/A</v>
      </c>
      <c r="X1512" s="219">
        <f t="shared" ca="1" si="214"/>
        <v>0</v>
      </c>
      <c r="AB1512" s="220" t="str">
        <f t="shared" si="215"/>
        <v/>
      </c>
    </row>
    <row r="1513" spans="1:28" s="219" customFormat="1" ht="20.25">
      <c r="A1513" s="174"/>
      <c r="B1513" s="175" t="str">
        <f>IF(LEN(A1513)=0,"",INDEX('Smelter Look-up'!$A:$A,MATCH($A1513,'Smelter Look-up'!$E:$E,0)))</f>
        <v/>
      </c>
      <c r="C1513" s="179" t="str">
        <f>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13"/>
        <v/>
      </c>
      <c r="T1513" s="174" t="str">
        <f ca="1">IF(B1513="","",IF(ISERROR(MATCH($J1513,SorP!$B$1:$B$6279,0)),"",INDIRECT("'SorP'!$A$"&amp;MATCH($S1513&amp;$J1513,SorP!C:C,0))))</f>
        <v/>
      </c>
      <c r="U1513" s="194"/>
      <c r="V1513" s="218" t="e">
        <f>IF(C1513="",NA(),IF(OR(C1513="Smelter not listed",C1513="Smelter not yet identified"),MATCH($B1513&amp;$D1513,'Smelter Look-up'!$J:$J,0),MATCH($B1513&amp;$C1513,'Smelter Look-up'!$J:$J,0)))</f>
        <v>#N/A</v>
      </c>
      <c r="X1513" s="219">
        <f t="shared" ca="1" si="214"/>
        <v>0</v>
      </c>
      <c r="AB1513" s="220" t="str">
        <f t="shared" si="215"/>
        <v/>
      </c>
    </row>
    <row r="1514" spans="1:28" s="219" customFormat="1" ht="20.25">
      <c r="A1514" s="174"/>
      <c r="B1514" s="175" t="str">
        <f>IF(LEN(A1514)=0,"",INDEX('Smelter Look-up'!$A:$A,MATCH($A1514,'Smelter Look-up'!$E:$E,0)))</f>
        <v/>
      </c>
      <c r="C1514" s="179" t="str">
        <f>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13"/>
        <v/>
      </c>
      <c r="T1514" s="174" t="str">
        <f ca="1">IF(B1514="","",IF(ISERROR(MATCH($J1514,SorP!$B$1:$B$6279,0)),"",INDIRECT("'SorP'!$A$"&amp;MATCH($S1514&amp;$J1514,SorP!C:C,0))))</f>
        <v/>
      </c>
      <c r="U1514" s="194"/>
      <c r="V1514" s="218" t="e">
        <f>IF(C1514="",NA(),IF(OR(C1514="Smelter not listed",C1514="Smelter not yet identified"),MATCH($B1514&amp;$D1514,'Smelter Look-up'!$J:$J,0),MATCH($B1514&amp;$C1514,'Smelter Look-up'!$J:$J,0)))</f>
        <v>#N/A</v>
      </c>
      <c r="X1514" s="219">
        <f t="shared" ca="1" si="214"/>
        <v>0</v>
      </c>
      <c r="AB1514" s="220" t="str">
        <f t="shared" si="215"/>
        <v/>
      </c>
    </row>
    <row r="1515" spans="1:28" s="219" customFormat="1" ht="20.25">
      <c r="A1515" s="174"/>
      <c r="B1515" s="175" t="str">
        <f>IF(LEN(A1515)=0,"",INDEX('Smelter Look-up'!$A:$A,MATCH($A1515,'Smelter Look-up'!$E:$E,0)))</f>
        <v/>
      </c>
      <c r="C1515" s="179" t="str">
        <f>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13"/>
        <v/>
      </c>
      <c r="T1515" s="174" t="str">
        <f ca="1">IF(B1515="","",IF(ISERROR(MATCH($J1515,SorP!$B$1:$B$6279,0)),"",INDIRECT("'SorP'!$A$"&amp;MATCH($S1515&amp;$J1515,SorP!C:C,0))))</f>
        <v/>
      </c>
      <c r="U1515" s="194"/>
      <c r="V1515" s="218" t="e">
        <f>IF(C1515="",NA(),IF(OR(C1515="Smelter not listed",C1515="Smelter not yet identified"),MATCH($B1515&amp;$D1515,'Smelter Look-up'!$J:$J,0),MATCH($B1515&amp;$C1515,'Smelter Look-up'!$J:$J,0)))</f>
        <v>#N/A</v>
      </c>
      <c r="X1515" s="219">
        <f t="shared" ca="1" si="214"/>
        <v>0</v>
      </c>
      <c r="AB1515" s="220" t="str">
        <f t="shared" si="215"/>
        <v/>
      </c>
    </row>
    <row r="1516" spans="1:28" s="219" customFormat="1" ht="20.25">
      <c r="A1516" s="174"/>
      <c r="B1516" s="175" t="str">
        <f>IF(LEN(A1516)=0,"",INDEX('Smelter Look-up'!$A:$A,MATCH($A1516,'Smelter Look-up'!$E:$E,0)))</f>
        <v/>
      </c>
      <c r="C1516" s="179" t="str">
        <f>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13"/>
        <v/>
      </c>
      <c r="T1516" s="174" t="str">
        <f ca="1">IF(B1516="","",IF(ISERROR(MATCH($J1516,SorP!$B$1:$B$6279,0)),"",INDIRECT("'SorP'!$A$"&amp;MATCH($S1516&amp;$J1516,SorP!C:C,0))))</f>
        <v/>
      </c>
      <c r="U1516" s="194"/>
      <c r="V1516" s="218" t="e">
        <f>IF(C1516="",NA(),IF(OR(C1516="Smelter not listed",C1516="Smelter not yet identified"),MATCH($B1516&amp;$D1516,'Smelter Look-up'!$J:$J,0),MATCH($B1516&amp;$C1516,'Smelter Look-up'!$J:$J,0)))</f>
        <v>#N/A</v>
      </c>
      <c r="X1516" s="219">
        <f t="shared" ca="1" si="214"/>
        <v>0</v>
      </c>
      <c r="AB1516" s="220" t="str">
        <f t="shared" si="215"/>
        <v/>
      </c>
    </row>
    <row r="1517" spans="1:28" s="219" customFormat="1" ht="20.25">
      <c r="A1517" s="174"/>
      <c r="B1517" s="175" t="str">
        <f>IF(LEN(A1517)=0,"",INDEX('Smelter Look-up'!$A:$A,MATCH($A1517,'Smelter Look-up'!$E:$E,0)))</f>
        <v/>
      </c>
      <c r="C1517" s="179" t="str">
        <f>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13"/>
        <v/>
      </c>
      <c r="T1517" s="174" t="str">
        <f ca="1">IF(B1517="","",IF(ISERROR(MATCH($J1517,SorP!$B$1:$B$6279,0)),"",INDIRECT("'SorP'!$A$"&amp;MATCH($S1517&amp;$J1517,SorP!C:C,0))))</f>
        <v/>
      </c>
      <c r="U1517" s="194"/>
      <c r="V1517" s="218" t="e">
        <f>IF(C1517="",NA(),IF(OR(C1517="Smelter not listed",C1517="Smelter not yet identified"),MATCH($B1517&amp;$D1517,'Smelter Look-up'!$J:$J,0),MATCH($B1517&amp;$C1517,'Smelter Look-up'!$J:$J,0)))</f>
        <v>#N/A</v>
      </c>
      <c r="X1517" s="219">
        <f t="shared" ca="1" si="214"/>
        <v>0</v>
      </c>
      <c r="AB1517" s="220" t="str">
        <f t="shared" si="215"/>
        <v/>
      </c>
    </row>
    <row r="1518" spans="1:28" s="219" customFormat="1" ht="20.25">
      <c r="A1518" s="174"/>
      <c r="B1518" s="175" t="str">
        <f>IF(LEN(A1518)=0,"",INDEX('Smelter Look-up'!$A:$A,MATCH($A1518,'Smelter Look-up'!$E:$E,0)))</f>
        <v/>
      </c>
      <c r="C1518" s="179" t="str">
        <f>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13"/>
        <v/>
      </c>
      <c r="T1518" s="174" t="str">
        <f ca="1">IF(B1518="","",IF(ISERROR(MATCH($J1518,SorP!$B$1:$B$6279,0)),"",INDIRECT("'SorP'!$A$"&amp;MATCH($S1518&amp;$J1518,SorP!C:C,0))))</f>
        <v/>
      </c>
      <c r="U1518" s="194"/>
      <c r="V1518" s="218" t="e">
        <f>IF(C1518="",NA(),IF(OR(C1518="Smelter not listed",C1518="Smelter not yet identified"),MATCH($B1518&amp;$D1518,'Smelter Look-up'!$J:$J,0),MATCH($B1518&amp;$C1518,'Smelter Look-up'!$J:$J,0)))</f>
        <v>#N/A</v>
      </c>
      <c r="X1518" s="219">
        <f t="shared" ca="1" si="214"/>
        <v>0</v>
      </c>
      <c r="AB1518" s="220" t="str">
        <f t="shared" si="215"/>
        <v/>
      </c>
    </row>
    <row r="1519" spans="1:28" s="219" customFormat="1" ht="20.25">
      <c r="A1519" s="174"/>
      <c r="B1519" s="175" t="str">
        <f>IF(LEN(A1519)=0,"",INDEX('Smelter Look-up'!$A:$A,MATCH($A1519,'Smelter Look-up'!$E:$E,0)))</f>
        <v/>
      </c>
      <c r="C1519" s="179" t="str">
        <f>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13"/>
        <v/>
      </c>
      <c r="T1519" s="174" t="str">
        <f ca="1">IF(B1519="","",IF(ISERROR(MATCH($J1519,SorP!$B$1:$B$6279,0)),"",INDIRECT("'SorP'!$A$"&amp;MATCH($S1519&amp;$J1519,SorP!C:C,0))))</f>
        <v/>
      </c>
      <c r="U1519" s="194"/>
      <c r="V1519" s="218" t="e">
        <f>IF(C1519="",NA(),IF(OR(C1519="Smelter not listed",C1519="Smelter not yet identified"),MATCH($B1519&amp;$D1519,'Smelter Look-up'!$J:$J,0),MATCH($B1519&amp;$C1519,'Smelter Look-up'!$J:$J,0)))</f>
        <v>#N/A</v>
      </c>
      <c r="X1519" s="219">
        <f t="shared" ca="1" si="214"/>
        <v>0</v>
      </c>
      <c r="AB1519" s="220" t="str">
        <f t="shared" si="215"/>
        <v/>
      </c>
    </row>
    <row r="1520" spans="1:28" s="219" customFormat="1" ht="20.25">
      <c r="A1520" s="174"/>
      <c r="B1520" s="175" t="str">
        <f>IF(LEN(A1520)=0,"",INDEX('Smelter Look-up'!$A:$A,MATCH($A1520,'Smelter Look-up'!$E:$E,0)))</f>
        <v/>
      </c>
      <c r="C1520" s="179" t="str">
        <f>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13"/>
        <v/>
      </c>
      <c r="T1520" s="174" t="str">
        <f ca="1">IF(B1520="","",IF(ISERROR(MATCH($J1520,SorP!$B$1:$B$6279,0)),"",INDIRECT("'SorP'!$A$"&amp;MATCH($S1520&amp;$J1520,SorP!C:C,0))))</f>
        <v/>
      </c>
      <c r="U1520" s="194"/>
      <c r="V1520" s="218" t="e">
        <f>IF(C1520="",NA(),IF(OR(C1520="Smelter not listed",C1520="Smelter not yet identified"),MATCH($B1520&amp;$D1520,'Smelter Look-up'!$J:$J,0),MATCH($B1520&amp;$C1520,'Smelter Look-up'!$J:$J,0)))</f>
        <v>#N/A</v>
      </c>
      <c r="X1520" s="219">
        <f t="shared" ca="1" si="214"/>
        <v>0</v>
      </c>
      <c r="AB1520" s="220" t="str">
        <f t="shared" si="215"/>
        <v/>
      </c>
    </row>
    <row r="1521" spans="1:28" s="219" customFormat="1" ht="20.25">
      <c r="A1521" s="174"/>
      <c r="B1521" s="175" t="str">
        <f>IF(LEN(A1521)=0,"",INDEX('Smelter Look-up'!$A:$A,MATCH($A1521,'Smelter Look-up'!$E:$E,0)))</f>
        <v/>
      </c>
      <c r="C1521" s="179" t="str">
        <f>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13"/>
        <v/>
      </c>
      <c r="T1521" s="174" t="str">
        <f ca="1">IF(B1521="","",IF(ISERROR(MATCH($J1521,SorP!$B$1:$B$6279,0)),"",INDIRECT("'SorP'!$A$"&amp;MATCH($S1521&amp;$J1521,SorP!C:C,0))))</f>
        <v/>
      </c>
      <c r="U1521" s="194"/>
      <c r="V1521" s="218" t="e">
        <f>IF(C1521="",NA(),IF(OR(C1521="Smelter not listed",C1521="Smelter not yet identified"),MATCH($B1521&amp;$D1521,'Smelter Look-up'!$J:$J,0),MATCH($B1521&amp;$C1521,'Smelter Look-up'!$J:$J,0)))</f>
        <v>#N/A</v>
      </c>
      <c r="X1521" s="219">
        <f t="shared" ca="1" si="214"/>
        <v>0</v>
      </c>
      <c r="AB1521" s="220" t="str">
        <f t="shared" si="215"/>
        <v/>
      </c>
    </row>
    <row r="1522" spans="1:28" s="219" customFormat="1" ht="20.25">
      <c r="A1522" s="174"/>
      <c r="B1522" s="175" t="str">
        <f>IF(LEN(A1522)=0,"",INDEX('Smelter Look-up'!$A:$A,MATCH($A1522,'Smelter Look-up'!$E:$E,0)))</f>
        <v/>
      </c>
      <c r="C1522" s="179" t="str">
        <f>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13"/>
        <v/>
      </c>
      <c r="T1522" s="174" t="str">
        <f ca="1">IF(B1522="","",IF(ISERROR(MATCH($J1522,SorP!$B$1:$B$6279,0)),"",INDIRECT("'SorP'!$A$"&amp;MATCH($S1522&amp;$J1522,SorP!C:C,0))))</f>
        <v/>
      </c>
      <c r="U1522" s="194"/>
      <c r="V1522" s="218" t="e">
        <f>IF(C1522="",NA(),IF(OR(C1522="Smelter not listed",C1522="Smelter not yet identified"),MATCH($B1522&amp;$D1522,'Smelter Look-up'!$J:$J,0),MATCH($B1522&amp;$C1522,'Smelter Look-up'!$J:$J,0)))</f>
        <v>#N/A</v>
      </c>
      <c r="X1522" s="219">
        <f t="shared" ca="1" si="214"/>
        <v>0</v>
      </c>
      <c r="AB1522" s="220" t="str">
        <f t="shared" si="215"/>
        <v/>
      </c>
    </row>
    <row r="1523" spans="1:28" s="219" customFormat="1" ht="20.25">
      <c r="A1523" s="174"/>
      <c r="B1523" s="175" t="str">
        <f>IF(LEN(A1523)=0,"",INDEX('Smelter Look-up'!$A:$A,MATCH($A1523,'Smelter Look-up'!$E:$E,0)))</f>
        <v/>
      </c>
      <c r="C1523" s="179" t="str">
        <f>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213"/>
        <v/>
      </c>
      <c r="T1523" s="174" t="str">
        <f ca="1">IF(B1523="","",IF(ISERROR(MATCH($J1523,SorP!$B$1:$B$6279,0)),"",INDIRECT("'SorP'!$A$"&amp;MATCH($S1523&amp;$J1523,SorP!C:C,0))))</f>
        <v/>
      </c>
      <c r="U1523" s="194"/>
      <c r="V1523" s="218" t="e">
        <f>IF(C1523="",NA(),IF(OR(C1523="Smelter not listed",C1523="Smelter not yet identified"),MATCH($B1523&amp;$D1523,'Smelter Look-up'!$J:$J,0),MATCH($B1523&amp;$C1523,'Smelter Look-up'!$J:$J,0)))</f>
        <v>#N/A</v>
      </c>
      <c r="X1523" s="219">
        <f t="shared" ca="1" si="214"/>
        <v>0</v>
      </c>
      <c r="AB1523" s="220" t="str">
        <f t="shared" si="215"/>
        <v/>
      </c>
    </row>
    <row r="1524" spans="1:28" s="219" customFormat="1" ht="20.25">
      <c r="A1524" s="174"/>
      <c r="B1524" s="175" t="str">
        <f>IF(LEN(A1524)=0,"",INDEX('Smelter Look-up'!$A:$A,MATCH($A1524,'Smelter Look-up'!$E:$E,0)))</f>
        <v/>
      </c>
      <c r="C1524" s="179" t="str">
        <f>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13"/>
        <v/>
      </c>
      <c r="T1524" s="174" t="str">
        <f ca="1">IF(B1524="","",IF(ISERROR(MATCH($J1524,SorP!$B$1:$B$6279,0)),"",INDIRECT("'SorP'!$A$"&amp;MATCH($S1524&amp;$J1524,SorP!C:C,0))))</f>
        <v/>
      </c>
      <c r="U1524" s="194"/>
      <c r="V1524" s="218" t="e">
        <f>IF(C1524="",NA(),IF(OR(C1524="Smelter not listed",C1524="Smelter not yet identified"),MATCH($B1524&amp;$D1524,'Smelter Look-up'!$J:$J,0),MATCH($B1524&amp;$C1524,'Smelter Look-up'!$J:$J,0)))</f>
        <v>#N/A</v>
      </c>
      <c r="X1524" s="219">
        <f t="shared" ca="1" si="214"/>
        <v>0</v>
      </c>
      <c r="AB1524" s="220" t="str">
        <f t="shared" si="215"/>
        <v/>
      </c>
    </row>
    <row r="1525" spans="1:28" s="219" customFormat="1" ht="20.25">
      <c r="A1525" s="174"/>
      <c r="B1525" s="175" t="str">
        <f>IF(LEN(A1525)=0,"",INDEX('Smelter Look-up'!$A:$A,MATCH($A1525,'Smelter Look-up'!$E:$E,0)))</f>
        <v/>
      </c>
      <c r="C1525" s="179" t="str">
        <f>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13"/>
        <v/>
      </c>
      <c r="T1525" s="174" t="str">
        <f ca="1">IF(B1525="","",IF(ISERROR(MATCH($J1525,SorP!$B$1:$B$6279,0)),"",INDIRECT("'SorP'!$A$"&amp;MATCH($S1525&amp;$J1525,SorP!C:C,0))))</f>
        <v/>
      </c>
      <c r="U1525" s="194"/>
      <c r="V1525" s="218" t="e">
        <f>IF(C1525="",NA(),IF(OR(C1525="Smelter not listed",C1525="Smelter not yet identified"),MATCH($B1525&amp;$D1525,'Smelter Look-up'!$J:$J,0),MATCH($B1525&amp;$C1525,'Smelter Look-up'!$J:$J,0)))</f>
        <v>#N/A</v>
      </c>
      <c r="X1525" s="219">
        <f t="shared" ca="1" si="214"/>
        <v>0</v>
      </c>
      <c r="AB1525" s="220" t="str">
        <f t="shared" si="215"/>
        <v/>
      </c>
    </row>
    <row r="1526" spans="1:28" s="219" customFormat="1" ht="20.25">
      <c r="A1526" s="174"/>
      <c r="B1526" s="175" t="str">
        <f>IF(LEN(A1526)=0,"",INDEX('Smelter Look-up'!$A:$A,MATCH($A1526,'Smelter Look-up'!$E:$E,0)))</f>
        <v/>
      </c>
      <c r="C1526" s="179" t="str">
        <f>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13"/>
        <v/>
      </c>
      <c r="T1526" s="174" t="str">
        <f ca="1">IF(B1526="","",IF(ISERROR(MATCH($J1526,SorP!$B$1:$B$6279,0)),"",INDIRECT("'SorP'!$A$"&amp;MATCH($S1526&amp;$J1526,SorP!C:C,0))))</f>
        <v/>
      </c>
      <c r="U1526" s="194"/>
      <c r="V1526" s="218" t="e">
        <f>IF(C1526="",NA(),IF(OR(C1526="Smelter not listed",C1526="Smelter not yet identified"),MATCH($B1526&amp;$D1526,'Smelter Look-up'!$J:$J,0),MATCH($B1526&amp;$C1526,'Smelter Look-up'!$J:$J,0)))</f>
        <v>#N/A</v>
      </c>
      <c r="X1526" s="219">
        <f t="shared" ca="1" si="214"/>
        <v>0</v>
      </c>
      <c r="AB1526" s="220" t="str">
        <f t="shared" si="215"/>
        <v/>
      </c>
    </row>
    <row r="1527" spans="1:28" s="219" customFormat="1" ht="20.25">
      <c r="A1527" s="174"/>
      <c r="B1527" s="175" t="str">
        <f>IF(LEN(A1527)=0,"",INDEX('Smelter Look-up'!$A:$A,MATCH($A1527,'Smelter Look-up'!$E:$E,0)))</f>
        <v/>
      </c>
      <c r="C1527" s="179" t="str">
        <f>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13"/>
        <v/>
      </c>
      <c r="T1527" s="174" t="str">
        <f ca="1">IF(B1527="","",IF(ISERROR(MATCH($J1527,SorP!$B$1:$B$6279,0)),"",INDIRECT("'SorP'!$A$"&amp;MATCH($S1527&amp;$J1527,SorP!C:C,0))))</f>
        <v/>
      </c>
      <c r="U1527" s="194"/>
      <c r="V1527" s="218" t="e">
        <f>IF(C1527="",NA(),IF(OR(C1527="Smelter not listed",C1527="Smelter not yet identified"),MATCH($B1527&amp;$D1527,'Smelter Look-up'!$J:$J,0),MATCH($B1527&amp;$C1527,'Smelter Look-up'!$J:$J,0)))</f>
        <v>#N/A</v>
      </c>
      <c r="X1527" s="219">
        <f t="shared" ca="1" si="214"/>
        <v>0</v>
      </c>
      <c r="AB1527" s="220" t="str">
        <f t="shared" si="215"/>
        <v/>
      </c>
    </row>
    <row r="1528" spans="1:28" s="219" customFormat="1" ht="20.25">
      <c r="A1528" s="174"/>
      <c r="B1528" s="175" t="str">
        <f>IF(LEN(A1528)=0,"",INDEX('Smelter Look-up'!$A:$A,MATCH($A1528,'Smelter Look-up'!$E:$E,0)))</f>
        <v/>
      </c>
      <c r="C1528" s="179" t="str">
        <f>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13"/>
        <v/>
      </c>
      <c r="T1528" s="174" t="str">
        <f ca="1">IF(B1528="","",IF(ISERROR(MATCH($J1528,SorP!$B$1:$B$6279,0)),"",INDIRECT("'SorP'!$A$"&amp;MATCH($S1528&amp;$J1528,SorP!C:C,0))))</f>
        <v/>
      </c>
      <c r="U1528" s="194"/>
      <c r="V1528" s="218" t="e">
        <f>IF(C1528="",NA(),IF(OR(C1528="Smelter not listed",C1528="Smelter not yet identified"),MATCH($B1528&amp;$D1528,'Smelter Look-up'!$J:$J,0),MATCH($B1528&amp;$C1528,'Smelter Look-up'!$J:$J,0)))</f>
        <v>#N/A</v>
      </c>
      <c r="X1528" s="219">
        <f t="shared" ca="1" si="214"/>
        <v>0</v>
      </c>
      <c r="AB1528" s="220" t="str">
        <f t="shared" si="215"/>
        <v/>
      </c>
    </row>
    <row r="1529" spans="1:28" s="219" customFormat="1" ht="20.25">
      <c r="A1529" s="174"/>
      <c r="B1529" s="175" t="str">
        <f>IF(LEN(A1529)=0,"",INDEX('Smelter Look-up'!$A:$A,MATCH($A1529,'Smelter Look-up'!$E:$E,0)))</f>
        <v/>
      </c>
      <c r="C1529" s="179" t="str">
        <f>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213"/>
        <v/>
      </c>
      <c r="T1529" s="174" t="str">
        <f ca="1">IF(B1529="","",IF(ISERROR(MATCH($J1529,SorP!$B$1:$B$6279,0)),"",INDIRECT("'SorP'!$A$"&amp;MATCH($S1529&amp;$J1529,SorP!C:C,0))))</f>
        <v/>
      </c>
      <c r="U1529" s="194"/>
      <c r="V1529" s="218" t="e">
        <f>IF(C1529="",NA(),IF(OR(C1529="Smelter not listed",C1529="Smelter not yet identified"),MATCH($B1529&amp;$D1529,'Smelter Look-up'!$J:$J,0),MATCH($B1529&amp;$C1529,'Smelter Look-up'!$J:$J,0)))</f>
        <v>#N/A</v>
      </c>
      <c r="X1529" s="219">
        <f t="shared" ca="1" si="214"/>
        <v>0</v>
      </c>
      <c r="AB1529" s="220" t="str">
        <f t="shared" si="215"/>
        <v/>
      </c>
    </row>
    <row r="1530" spans="1:28" s="219" customFormat="1" ht="20.25">
      <c r="A1530" s="174"/>
      <c r="B1530" s="175" t="str">
        <f>IF(LEN(A1530)=0,"",INDEX('Smelter Look-up'!$A:$A,MATCH($A1530,'Smelter Look-up'!$E:$E,0)))</f>
        <v/>
      </c>
      <c r="C1530" s="179" t="str">
        <f>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ca="1" si="213"/>
        <v/>
      </c>
      <c r="T1530" s="174" t="str">
        <f ca="1">IF(B1530="","",IF(ISERROR(MATCH($J1530,SorP!$B$1:$B$6279,0)),"",INDIRECT("'SorP'!$A$"&amp;MATCH($S1530&amp;$J1530,SorP!C:C,0))))</f>
        <v/>
      </c>
      <c r="U1530" s="194"/>
      <c r="V1530" s="218" t="e">
        <f>IF(C1530="",NA(),IF(OR(C1530="Smelter not listed",C1530="Smelter not yet identified"),MATCH($B1530&amp;$D1530,'Smelter Look-up'!$J:$J,0),MATCH($B1530&amp;$C1530,'Smelter Look-up'!$J:$J,0)))</f>
        <v>#N/A</v>
      </c>
      <c r="X1530" s="219">
        <f t="shared" ca="1" si="214"/>
        <v>0</v>
      </c>
      <c r="AB1530" s="220" t="str">
        <f t="shared" si="215"/>
        <v/>
      </c>
    </row>
    <row r="1531" spans="1:28" s="219" customFormat="1" ht="20.25">
      <c r="A1531" s="174"/>
      <c r="B1531" s="175" t="str">
        <f>IF(LEN(A1531)=0,"",INDEX('Smelter Look-up'!$A:$A,MATCH($A1531,'Smelter Look-up'!$E:$E,0)))</f>
        <v/>
      </c>
      <c r="C1531" s="179" t="str">
        <f>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ref="S1531" ca="1" si="216">IF(B1531="","",IF(ISERROR(MATCH($E1531,CL,0)),"Unknown",INDIRECT("'C'!$A$"&amp;MATCH($E1531,CL,0)+1)))</f>
        <v/>
      </c>
      <c r="T1531" s="174" t="str">
        <f ca="1">IF(B1531="","",IF(ISERROR(MATCH($J1531,SorP!$B$1:$B$6279,0)),"",INDIRECT("'SorP'!$A$"&amp;MATCH($S1531&amp;$J1531,SorP!C:C,0))))</f>
        <v/>
      </c>
      <c r="U1531" s="194"/>
      <c r="V1531" s="218" t="e">
        <f>IF(C1531="",NA(),IF(OR(C1531="Smelter not listed",C1531="Smelter not yet identified"),MATCH($B1531&amp;$D1531,'Smelter Look-up'!$J:$J,0),MATCH($B1531&amp;$C1531,'Smelter Look-up'!$J:$J,0)))</f>
        <v>#N/A</v>
      </c>
      <c r="X1531" s="219">
        <f t="shared" ref="X1531" ca="1" si="217">IF(AND(C1531="Smelter not listed",OR(LEN(D1531)=0,LEN(E1531)=0)),1,0)</f>
        <v>0</v>
      </c>
      <c r="AB1531" s="220" t="str">
        <f t="shared" ref="AB1531" si="218">B1531&amp;C1531</f>
        <v/>
      </c>
    </row>
    <row r="1532" spans="1:28" s="219" customFormat="1" ht="20.25">
      <c r="A1532" s="174"/>
      <c r="B1532" s="175" t="str">
        <f>IF(LEN(A1532)=0,"",INDEX('Smelter Look-up'!$A:$A,MATCH($A1532,'Smelter Look-up'!$E:$E,0)))</f>
        <v/>
      </c>
      <c r="C1532" s="179" t="str">
        <f>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ref="S1532:S1563" ca="1" si="219">IF(B1532="","",IF(ISERROR(MATCH($E1532,CL,0)),"Unknown",INDIRECT("'C'!$A$"&amp;MATCH($E1532,CL,0)+1)))</f>
        <v/>
      </c>
      <c r="T1532" s="174" t="str">
        <f ca="1">IF(B1532="","",IF(ISERROR(MATCH($J1532,SorP!$B$1:$B$6279,0)),"",INDIRECT("'SorP'!$A$"&amp;MATCH($S1532&amp;$J1532,SorP!C:C,0))))</f>
        <v/>
      </c>
      <c r="U1532" s="194"/>
      <c r="V1532" s="218" t="e">
        <f>IF(C1532="",NA(),IF(OR(C1532="Smelter not listed",C1532="Smelter not yet identified"),MATCH($B1532&amp;$D1532,'Smelter Look-up'!$J:$J,0),MATCH($B1532&amp;$C1532,'Smelter Look-up'!$J:$J,0)))</f>
        <v>#N/A</v>
      </c>
      <c r="X1532" s="219">
        <f t="shared" ref="X1532:X1563" ca="1" si="220">IF(AND(C1532="Smelter not listed",OR(LEN(D1532)=0,LEN(E1532)=0)),1,0)</f>
        <v>0</v>
      </c>
      <c r="AB1532" s="220" t="str">
        <f t="shared" ref="AB1532:AB1563" si="221">B1532&amp;C1532</f>
        <v/>
      </c>
    </row>
    <row r="1533" spans="1:28" s="219" customFormat="1" ht="20.25">
      <c r="A1533" s="174"/>
      <c r="B1533" s="175" t="str">
        <f>IF(LEN(A1533)=0,"",INDEX('Smelter Look-up'!$A:$A,MATCH($A1533,'Smelter Look-up'!$E:$E,0)))</f>
        <v/>
      </c>
      <c r="C1533" s="179" t="str">
        <f>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19"/>
        <v/>
      </c>
      <c r="T1533" s="174" t="str">
        <f ca="1">IF(B1533="","",IF(ISERROR(MATCH($J1533,SorP!$B$1:$B$6279,0)),"",INDIRECT("'SorP'!$A$"&amp;MATCH($S1533&amp;$J1533,SorP!C:C,0))))</f>
        <v/>
      </c>
      <c r="U1533" s="194"/>
      <c r="V1533" s="218" t="e">
        <f>IF(C1533="",NA(),IF(OR(C1533="Smelter not listed",C1533="Smelter not yet identified"),MATCH($B1533&amp;$D1533,'Smelter Look-up'!$J:$J,0),MATCH($B1533&amp;$C1533,'Smelter Look-up'!$J:$J,0)))</f>
        <v>#N/A</v>
      </c>
      <c r="X1533" s="219">
        <f t="shared" ca="1" si="220"/>
        <v>0</v>
      </c>
      <c r="AB1533" s="220" t="str">
        <f t="shared" si="221"/>
        <v/>
      </c>
    </row>
    <row r="1534" spans="1:28" s="219" customFormat="1" ht="20.25">
      <c r="A1534" s="174"/>
      <c r="B1534" s="175" t="str">
        <f>IF(LEN(A1534)=0,"",INDEX('Smelter Look-up'!$A:$A,MATCH($A1534,'Smelter Look-up'!$E:$E,0)))</f>
        <v/>
      </c>
      <c r="C1534" s="179" t="str">
        <f>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19"/>
        <v/>
      </c>
      <c r="T1534" s="174" t="str">
        <f ca="1">IF(B1534="","",IF(ISERROR(MATCH($J1534,SorP!$B$1:$B$6279,0)),"",INDIRECT("'SorP'!$A$"&amp;MATCH($S1534&amp;$J1534,SorP!C:C,0))))</f>
        <v/>
      </c>
      <c r="U1534" s="194"/>
      <c r="V1534" s="218" t="e">
        <f>IF(C1534="",NA(),IF(OR(C1534="Smelter not listed",C1534="Smelter not yet identified"),MATCH($B1534&amp;$D1534,'Smelter Look-up'!$J:$J,0),MATCH($B1534&amp;$C1534,'Smelter Look-up'!$J:$J,0)))</f>
        <v>#N/A</v>
      </c>
      <c r="X1534" s="219">
        <f t="shared" ca="1" si="220"/>
        <v>0</v>
      </c>
      <c r="AB1534" s="220" t="str">
        <f t="shared" si="221"/>
        <v/>
      </c>
    </row>
    <row r="1535" spans="1:28" s="219" customFormat="1" ht="20.25">
      <c r="A1535" s="174"/>
      <c r="B1535" s="175" t="str">
        <f>IF(LEN(A1535)=0,"",INDEX('Smelter Look-up'!$A:$A,MATCH($A1535,'Smelter Look-up'!$E:$E,0)))</f>
        <v/>
      </c>
      <c r="C1535" s="179" t="str">
        <f>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19"/>
        <v/>
      </c>
      <c r="T1535" s="174" t="str">
        <f ca="1">IF(B1535="","",IF(ISERROR(MATCH($J1535,SorP!$B$1:$B$6279,0)),"",INDIRECT("'SorP'!$A$"&amp;MATCH($S1535&amp;$J1535,SorP!C:C,0))))</f>
        <v/>
      </c>
      <c r="U1535" s="194"/>
      <c r="V1535" s="218" t="e">
        <f>IF(C1535="",NA(),IF(OR(C1535="Smelter not listed",C1535="Smelter not yet identified"),MATCH($B1535&amp;$D1535,'Smelter Look-up'!$J:$J,0),MATCH($B1535&amp;$C1535,'Smelter Look-up'!$J:$J,0)))</f>
        <v>#N/A</v>
      </c>
      <c r="X1535" s="219">
        <f t="shared" ca="1" si="220"/>
        <v>0</v>
      </c>
      <c r="AB1535" s="220" t="str">
        <f t="shared" si="221"/>
        <v/>
      </c>
    </row>
    <row r="1536" spans="1:28" s="219" customFormat="1" ht="20.25">
      <c r="A1536" s="174"/>
      <c r="B1536" s="175" t="str">
        <f>IF(LEN(A1536)=0,"",INDEX('Smelter Look-up'!$A:$A,MATCH($A1536,'Smelter Look-up'!$E:$E,0)))</f>
        <v/>
      </c>
      <c r="C1536" s="179" t="str">
        <f>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19"/>
        <v/>
      </c>
      <c r="T1536" s="174" t="str">
        <f ca="1">IF(B1536="","",IF(ISERROR(MATCH($J1536,SorP!$B$1:$B$6279,0)),"",INDIRECT("'SorP'!$A$"&amp;MATCH($S1536&amp;$J1536,SorP!C:C,0))))</f>
        <v/>
      </c>
      <c r="U1536" s="194"/>
      <c r="V1536" s="218" t="e">
        <f>IF(C1536="",NA(),IF(OR(C1536="Smelter not listed",C1536="Smelter not yet identified"),MATCH($B1536&amp;$D1536,'Smelter Look-up'!$J:$J,0),MATCH($B1536&amp;$C1536,'Smelter Look-up'!$J:$J,0)))</f>
        <v>#N/A</v>
      </c>
      <c r="X1536" s="219">
        <f t="shared" ca="1" si="220"/>
        <v>0</v>
      </c>
      <c r="AB1536" s="220" t="str">
        <f t="shared" si="221"/>
        <v/>
      </c>
    </row>
    <row r="1537" spans="1:28" s="219" customFormat="1" ht="20.25">
      <c r="A1537" s="174"/>
      <c r="B1537" s="175" t="str">
        <f>IF(LEN(A1537)=0,"",INDEX('Smelter Look-up'!$A:$A,MATCH($A1537,'Smelter Look-up'!$E:$E,0)))</f>
        <v/>
      </c>
      <c r="C1537" s="179" t="str">
        <f>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19"/>
        <v/>
      </c>
      <c r="T1537" s="174" t="str">
        <f ca="1">IF(B1537="","",IF(ISERROR(MATCH($J1537,SorP!$B$1:$B$6279,0)),"",INDIRECT("'SorP'!$A$"&amp;MATCH($S1537&amp;$J1537,SorP!C:C,0))))</f>
        <v/>
      </c>
      <c r="U1537" s="194"/>
      <c r="V1537" s="218" t="e">
        <f>IF(C1537="",NA(),IF(OR(C1537="Smelter not listed",C1537="Smelter not yet identified"),MATCH($B1537&amp;$D1537,'Smelter Look-up'!$J:$J,0),MATCH($B1537&amp;$C1537,'Smelter Look-up'!$J:$J,0)))</f>
        <v>#N/A</v>
      </c>
      <c r="X1537" s="219">
        <f t="shared" ca="1" si="220"/>
        <v>0</v>
      </c>
      <c r="AB1537" s="220" t="str">
        <f t="shared" si="221"/>
        <v/>
      </c>
    </row>
    <row r="1538" spans="1:28" s="219" customFormat="1" ht="20.25">
      <c r="A1538" s="174"/>
      <c r="B1538" s="175" t="str">
        <f>IF(LEN(A1538)=0,"",INDEX('Smelter Look-up'!$A:$A,MATCH($A1538,'Smelter Look-up'!$E:$E,0)))</f>
        <v/>
      </c>
      <c r="C1538" s="179" t="str">
        <f>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19"/>
        <v/>
      </c>
      <c r="T1538" s="174" t="str">
        <f ca="1">IF(B1538="","",IF(ISERROR(MATCH($J1538,SorP!$B$1:$B$6279,0)),"",INDIRECT("'SorP'!$A$"&amp;MATCH($S1538&amp;$J1538,SorP!C:C,0))))</f>
        <v/>
      </c>
      <c r="U1538" s="194"/>
      <c r="V1538" s="218" t="e">
        <f>IF(C1538="",NA(),IF(OR(C1538="Smelter not listed",C1538="Smelter not yet identified"),MATCH($B1538&amp;$D1538,'Smelter Look-up'!$J:$J,0),MATCH($B1538&amp;$C1538,'Smelter Look-up'!$J:$J,0)))</f>
        <v>#N/A</v>
      </c>
      <c r="X1538" s="219">
        <f t="shared" ca="1" si="220"/>
        <v>0</v>
      </c>
      <c r="AB1538" s="220" t="str">
        <f t="shared" si="221"/>
        <v/>
      </c>
    </row>
    <row r="1539" spans="1:28" s="219" customFormat="1" ht="20.25">
      <c r="A1539" s="174"/>
      <c r="B1539" s="175" t="str">
        <f>IF(LEN(A1539)=0,"",INDEX('Smelter Look-up'!$A:$A,MATCH($A1539,'Smelter Look-up'!$E:$E,0)))</f>
        <v/>
      </c>
      <c r="C1539" s="179" t="str">
        <f>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19"/>
        <v/>
      </c>
      <c r="T1539" s="174" t="str">
        <f ca="1">IF(B1539="","",IF(ISERROR(MATCH($J1539,SorP!$B$1:$B$6279,0)),"",INDIRECT("'SorP'!$A$"&amp;MATCH($S1539&amp;$J1539,SorP!C:C,0))))</f>
        <v/>
      </c>
      <c r="U1539" s="194"/>
      <c r="V1539" s="218" t="e">
        <f>IF(C1539="",NA(),IF(OR(C1539="Smelter not listed",C1539="Smelter not yet identified"),MATCH($B1539&amp;$D1539,'Smelter Look-up'!$J:$J,0),MATCH($B1539&amp;$C1539,'Smelter Look-up'!$J:$J,0)))</f>
        <v>#N/A</v>
      </c>
      <c r="X1539" s="219">
        <f t="shared" ca="1" si="220"/>
        <v>0</v>
      </c>
      <c r="AB1539" s="220" t="str">
        <f t="shared" si="221"/>
        <v/>
      </c>
    </row>
    <row r="1540" spans="1:28" s="219" customFormat="1" ht="20.25">
      <c r="A1540" s="174"/>
      <c r="B1540" s="175" t="str">
        <f>IF(LEN(A1540)=0,"",INDEX('Smelter Look-up'!$A:$A,MATCH($A1540,'Smelter Look-up'!$E:$E,0)))</f>
        <v/>
      </c>
      <c r="C1540" s="179" t="str">
        <f>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19"/>
        <v/>
      </c>
      <c r="T1540" s="174" t="str">
        <f ca="1">IF(B1540="","",IF(ISERROR(MATCH($J1540,SorP!$B$1:$B$6279,0)),"",INDIRECT("'SorP'!$A$"&amp;MATCH($S1540&amp;$J1540,SorP!C:C,0))))</f>
        <v/>
      </c>
      <c r="U1540" s="194"/>
      <c r="V1540" s="218" t="e">
        <f>IF(C1540="",NA(),IF(OR(C1540="Smelter not listed",C1540="Smelter not yet identified"),MATCH($B1540&amp;$D1540,'Smelter Look-up'!$J:$J,0),MATCH($B1540&amp;$C1540,'Smelter Look-up'!$J:$J,0)))</f>
        <v>#N/A</v>
      </c>
      <c r="X1540" s="219">
        <f t="shared" ca="1" si="220"/>
        <v>0</v>
      </c>
      <c r="AB1540" s="220" t="str">
        <f t="shared" si="221"/>
        <v/>
      </c>
    </row>
    <row r="1541" spans="1:28" s="219" customFormat="1" ht="20.25">
      <c r="A1541" s="174"/>
      <c r="B1541" s="175" t="str">
        <f>IF(LEN(A1541)=0,"",INDEX('Smelter Look-up'!$A:$A,MATCH($A1541,'Smelter Look-up'!$E:$E,0)))</f>
        <v/>
      </c>
      <c r="C1541" s="179" t="str">
        <f>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19"/>
        <v/>
      </c>
      <c r="T1541" s="174" t="str">
        <f ca="1">IF(B1541="","",IF(ISERROR(MATCH($J1541,SorP!$B$1:$B$6279,0)),"",INDIRECT("'SorP'!$A$"&amp;MATCH($S1541&amp;$J1541,SorP!C:C,0))))</f>
        <v/>
      </c>
      <c r="U1541" s="194"/>
      <c r="V1541" s="218" t="e">
        <f>IF(C1541="",NA(),IF(OR(C1541="Smelter not listed",C1541="Smelter not yet identified"),MATCH($B1541&amp;$D1541,'Smelter Look-up'!$J:$J,0),MATCH($B1541&amp;$C1541,'Smelter Look-up'!$J:$J,0)))</f>
        <v>#N/A</v>
      </c>
      <c r="X1541" s="219">
        <f t="shared" ca="1" si="220"/>
        <v>0</v>
      </c>
      <c r="AB1541" s="220" t="str">
        <f t="shared" si="221"/>
        <v/>
      </c>
    </row>
    <row r="1542" spans="1:28" s="219" customFormat="1" ht="20.25">
      <c r="A1542" s="174"/>
      <c r="B1542" s="175" t="str">
        <f>IF(LEN(A1542)=0,"",INDEX('Smelter Look-up'!$A:$A,MATCH($A1542,'Smelter Look-up'!$E:$E,0)))</f>
        <v/>
      </c>
      <c r="C1542" s="179" t="str">
        <f>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19"/>
        <v/>
      </c>
      <c r="T1542" s="174" t="str">
        <f ca="1">IF(B1542="","",IF(ISERROR(MATCH($J1542,SorP!$B$1:$B$6279,0)),"",INDIRECT("'SorP'!$A$"&amp;MATCH($S1542&amp;$J1542,SorP!C:C,0))))</f>
        <v/>
      </c>
      <c r="U1542" s="194"/>
      <c r="V1542" s="218" t="e">
        <f>IF(C1542="",NA(),IF(OR(C1542="Smelter not listed",C1542="Smelter not yet identified"),MATCH($B1542&amp;$D1542,'Smelter Look-up'!$J:$J,0),MATCH($B1542&amp;$C1542,'Smelter Look-up'!$J:$J,0)))</f>
        <v>#N/A</v>
      </c>
      <c r="X1542" s="219">
        <f t="shared" ca="1" si="220"/>
        <v>0</v>
      </c>
      <c r="AB1542" s="220" t="str">
        <f t="shared" si="221"/>
        <v/>
      </c>
    </row>
    <row r="1543" spans="1:28" s="219" customFormat="1" ht="20.25">
      <c r="A1543" s="174"/>
      <c r="B1543" s="175" t="str">
        <f>IF(LEN(A1543)=0,"",INDEX('Smelter Look-up'!$A:$A,MATCH($A1543,'Smelter Look-up'!$E:$E,0)))</f>
        <v/>
      </c>
      <c r="C1543" s="179" t="str">
        <f>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19"/>
        <v/>
      </c>
      <c r="T1543" s="174" t="str">
        <f ca="1">IF(B1543="","",IF(ISERROR(MATCH($J1543,SorP!$B$1:$B$6279,0)),"",INDIRECT("'SorP'!$A$"&amp;MATCH($S1543&amp;$J1543,SorP!C:C,0))))</f>
        <v/>
      </c>
      <c r="U1543" s="194"/>
      <c r="V1543" s="218" t="e">
        <f>IF(C1543="",NA(),IF(OR(C1543="Smelter not listed",C1543="Smelter not yet identified"),MATCH($B1543&amp;$D1543,'Smelter Look-up'!$J:$J,0),MATCH($B1543&amp;$C1543,'Smelter Look-up'!$J:$J,0)))</f>
        <v>#N/A</v>
      </c>
      <c r="X1543" s="219">
        <f t="shared" ca="1" si="220"/>
        <v>0</v>
      </c>
      <c r="AB1543" s="220" t="str">
        <f t="shared" si="221"/>
        <v/>
      </c>
    </row>
    <row r="1544" spans="1:28" s="219" customFormat="1" ht="20.25">
      <c r="A1544" s="174"/>
      <c r="B1544" s="175" t="str">
        <f>IF(LEN(A1544)=0,"",INDEX('Smelter Look-up'!$A:$A,MATCH($A1544,'Smelter Look-up'!$E:$E,0)))</f>
        <v/>
      </c>
      <c r="C1544" s="179" t="str">
        <f>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19"/>
        <v/>
      </c>
      <c r="T1544" s="174" t="str">
        <f ca="1">IF(B1544="","",IF(ISERROR(MATCH($J1544,SorP!$B$1:$B$6279,0)),"",INDIRECT("'SorP'!$A$"&amp;MATCH($S1544&amp;$J1544,SorP!C:C,0))))</f>
        <v/>
      </c>
      <c r="U1544" s="194"/>
      <c r="V1544" s="218" t="e">
        <f>IF(C1544="",NA(),IF(OR(C1544="Smelter not listed",C1544="Smelter not yet identified"),MATCH($B1544&amp;$D1544,'Smelter Look-up'!$J:$J,0),MATCH($B1544&amp;$C1544,'Smelter Look-up'!$J:$J,0)))</f>
        <v>#N/A</v>
      </c>
      <c r="X1544" s="219">
        <f t="shared" ca="1" si="220"/>
        <v>0</v>
      </c>
      <c r="AB1544" s="220" t="str">
        <f t="shared" si="221"/>
        <v/>
      </c>
    </row>
    <row r="1545" spans="1:28" s="219" customFormat="1" ht="20.25">
      <c r="A1545" s="174"/>
      <c r="B1545" s="175" t="str">
        <f>IF(LEN(A1545)=0,"",INDEX('Smelter Look-up'!$A:$A,MATCH($A1545,'Smelter Look-up'!$E:$E,0)))</f>
        <v/>
      </c>
      <c r="C1545" s="179" t="str">
        <f>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19"/>
        <v/>
      </c>
      <c r="T1545" s="174" t="str">
        <f ca="1">IF(B1545="","",IF(ISERROR(MATCH($J1545,SorP!$B$1:$B$6279,0)),"",INDIRECT("'SorP'!$A$"&amp;MATCH($S1545&amp;$J1545,SorP!C:C,0))))</f>
        <v/>
      </c>
      <c r="U1545" s="194"/>
      <c r="V1545" s="218" t="e">
        <f>IF(C1545="",NA(),IF(OR(C1545="Smelter not listed",C1545="Smelter not yet identified"),MATCH($B1545&amp;$D1545,'Smelter Look-up'!$J:$J,0),MATCH($B1545&amp;$C1545,'Smelter Look-up'!$J:$J,0)))</f>
        <v>#N/A</v>
      </c>
      <c r="X1545" s="219">
        <f t="shared" ca="1" si="220"/>
        <v>0</v>
      </c>
      <c r="AB1545" s="220" t="str">
        <f t="shared" si="221"/>
        <v/>
      </c>
    </row>
    <row r="1546" spans="1:28" s="219" customFormat="1" ht="20.25">
      <c r="A1546" s="174"/>
      <c r="B1546" s="175" t="str">
        <f>IF(LEN(A1546)=0,"",INDEX('Smelter Look-up'!$A:$A,MATCH($A1546,'Smelter Look-up'!$E:$E,0)))</f>
        <v/>
      </c>
      <c r="C1546" s="179" t="str">
        <f>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19"/>
        <v/>
      </c>
      <c r="T1546" s="174" t="str">
        <f ca="1">IF(B1546="","",IF(ISERROR(MATCH($J1546,SorP!$B$1:$B$6279,0)),"",INDIRECT("'SorP'!$A$"&amp;MATCH($S1546&amp;$J1546,SorP!C:C,0))))</f>
        <v/>
      </c>
      <c r="U1546" s="194"/>
      <c r="V1546" s="218" t="e">
        <f>IF(C1546="",NA(),IF(OR(C1546="Smelter not listed",C1546="Smelter not yet identified"),MATCH($B1546&amp;$D1546,'Smelter Look-up'!$J:$J,0),MATCH($B1546&amp;$C1546,'Smelter Look-up'!$J:$J,0)))</f>
        <v>#N/A</v>
      </c>
      <c r="X1546" s="219">
        <f t="shared" ca="1" si="220"/>
        <v>0</v>
      </c>
      <c r="AB1546" s="220" t="str">
        <f t="shared" si="221"/>
        <v/>
      </c>
    </row>
    <row r="1547" spans="1:28" s="219" customFormat="1" ht="20.25">
      <c r="A1547" s="174"/>
      <c r="B1547" s="175" t="str">
        <f>IF(LEN(A1547)=0,"",INDEX('Smelter Look-up'!$A:$A,MATCH($A1547,'Smelter Look-up'!$E:$E,0)))</f>
        <v/>
      </c>
      <c r="C1547" s="179" t="str">
        <f>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19"/>
        <v/>
      </c>
      <c r="T1547" s="174" t="str">
        <f ca="1">IF(B1547="","",IF(ISERROR(MATCH($J1547,SorP!$B$1:$B$6279,0)),"",INDIRECT("'SorP'!$A$"&amp;MATCH($S1547&amp;$J1547,SorP!C:C,0))))</f>
        <v/>
      </c>
      <c r="U1547" s="194"/>
      <c r="V1547" s="218" t="e">
        <f>IF(C1547="",NA(),IF(OR(C1547="Smelter not listed",C1547="Smelter not yet identified"),MATCH($B1547&amp;$D1547,'Smelter Look-up'!$J:$J,0),MATCH($B1547&amp;$C1547,'Smelter Look-up'!$J:$J,0)))</f>
        <v>#N/A</v>
      </c>
      <c r="X1547" s="219">
        <f t="shared" ca="1" si="220"/>
        <v>0</v>
      </c>
      <c r="AB1547" s="220" t="str">
        <f t="shared" si="221"/>
        <v/>
      </c>
    </row>
    <row r="1548" spans="1:28" s="219" customFormat="1" ht="20.25">
      <c r="A1548" s="174"/>
      <c r="B1548" s="175" t="str">
        <f>IF(LEN(A1548)=0,"",INDEX('Smelter Look-up'!$A:$A,MATCH($A1548,'Smelter Look-up'!$E:$E,0)))</f>
        <v/>
      </c>
      <c r="C1548" s="179" t="str">
        <f>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19"/>
        <v/>
      </c>
      <c r="T1548" s="174" t="str">
        <f ca="1">IF(B1548="","",IF(ISERROR(MATCH($J1548,SorP!$B$1:$B$6279,0)),"",INDIRECT("'SorP'!$A$"&amp;MATCH($S1548&amp;$J1548,SorP!C:C,0))))</f>
        <v/>
      </c>
      <c r="U1548" s="194"/>
      <c r="V1548" s="218" t="e">
        <f>IF(C1548="",NA(),IF(OR(C1548="Smelter not listed",C1548="Smelter not yet identified"),MATCH($B1548&amp;$D1548,'Smelter Look-up'!$J:$J,0),MATCH($B1548&amp;$C1548,'Smelter Look-up'!$J:$J,0)))</f>
        <v>#N/A</v>
      </c>
      <c r="X1548" s="219">
        <f t="shared" ca="1" si="220"/>
        <v>0</v>
      </c>
      <c r="AB1548" s="220" t="str">
        <f t="shared" si="221"/>
        <v/>
      </c>
    </row>
    <row r="1549" spans="1:28" s="219" customFormat="1" ht="20.25">
      <c r="A1549" s="174"/>
      <c r="B1549" s="175" t="str">
        <f>IF(LEN(A1549)=0,"",INDEX('Smelter Look-up'!$A:$A,MATCH($A1549,'Smelter Look-up'!$E:$E,0)))</f>
        <v/>
      </c>
      <c r="C1549" s="179" t="str">
        <f>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19"/>
        <v/>
      </c>
      <c r="T1549" s="174" t="str">
        <f ca="1">IF(B1549="","",IF(ISERROR(MATCH($J1549,SorP!$B$1:$B$6279,0)),"",INDIRECT("'SorP'!$A$"&amp;MATCH($S1549&amp;$J1549,SorP!C:C,0))))</f>
        <v/>
      </c>
      <c r="U1549" s="194"/>
      <c r="V1549" s="218" t="e">
        <f>IF(C1549="",NA(),IF(OR(C1549="Smelter not listed",C1549="Smelter not yet identified"),MATCH($B1549&amp;$D1549,'Smelter Look-up'!$J:$J,0),MATCH($B1549&amp;$C1549,'Smelter Look-up'!$J:$J,0)))</f>
        <v>#N/A</v>
      </c>
      <c r="X1549" s="219">
        <f t="shared" ca="1" si="220"/>
        <v>0</v>
      </c>
      <c r="AB1549" s="220" t="str">
        <f t="shared" si="221"/>
        <v/>
      </c>
    </row>
    <row r="1550" spans="1:28" s="219" customFormat="1" ht="20.25">
      <c r="A1550" s="174"/>
      <c r="B1550" s="175" t="str">
        <f>IF(LEN(A1550)=0,"",INDEX('Smelter Look-up'!$A:$A,MATCH($A1550,'Smelter Look-up'!$E:$E,0)))</f>
        <v/>
      </c>
      <c r="C1550" s="179" t="str">
        <f>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19"/>
        <v/>
      </c>
      <c r="T1550" s="174" t="str">
        <f ca="1">IF(B1550="","",IF(ISERROR(MATCH($J1550,SorP!$B$1:$B$6279,0)),"",INDIRECT("'SorP'!$A$"&amp;MATCH($S1550&amp;$J1550,SorP!C:C,0))))</f>
        <v/>
      </c>
      <c r="U1550" s="194"/>
      <c r="V1550" s="218" t="e">
        <f>IF(C1550="",NA(),IF(OR(C1550="Smelter not listed",C1550="Smelter not yet identified"),MATCH($B1550&amp;$D1550,'Smelter Look-up'!$J:$J,0),MATCH($B1550&amp;$C1550,'Smelter Look-up'!$J:$J,0)))</f>
        <v>#N/A</v>
      </c>
      <c r="X1550" s="219">
        <f t="shared" ca="1" si="220"/>
        <v>0</v>
      </c>
      <c r="AB1550" s="220" t="str">
        <f t="shared" si="221"/>
        <v/>
      </c>
    </row>
    <row r="1551" spans="1:28" s="219" customFormat="1" ht="20.25">
      <c r="A1551" s="174"/>
      <c r="B1551" s="175" t="str">
        <f>IF(LEN(A1551)=0,"",INDEX('Smelter Look-up'!$A:$A,MATCH($A1551,'Smelter Look-up'!$E:$E,0)))</f>
        <v/>
      </c>
      <c r="C1551" s="179" t="str">
        <f>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19"/>
        <v/>
      </c>
      <c r="T1551" s="174" t="str">
        <f ca="1">IF(B1551="","",IF(ISERROR(MATCH($J1551,SorP!$B$1:$B$6279,0)),"",INDIRECT("'SorP'!$A$"&amp;MATCH($S1551&amp;$J1551,SorP!C:C,0))))</f>
        <v/>
      </c>
      <c r="U1551" s="194"/>
      <c r="V1551" s="218" t="e">
        <f>IF(C1551="",NA(),IF(OR(C1551="Smelter not listed",C1551="Smelter not yet identified"),MATCH($B1551&amp;$D1551,'Smelter Look-up'!$J:$J,0),MATCH($B1551&amp;$C1551,'Smelter Look-up'!$J:$J,0)))</f>
        <v>#N/A</v>
      </c>
      <c r="X1551" s="219">
        <f t="shared" ca="1" si="220"/>
        <v>0</v>
      </c>
      <c r="AB1551" s="220" t="str">
        <f t="shared" si="221"/>
        <v/>
      </c>
    </row>
    <row r="1552" spans="1:28" s="219" customFormat="1" ht="20.25">
      <c r="A1552" s="174"/>
      <c r="B1552" s="175" t="str">
        <f>IF(LEN(A1552)=0,"",INDEX('Smelter Look-up'!$A:$A,MATCH($A1552,'Smelter Look-up'!$E:$E,0)))</f>
        <v/>
      </c>
      <c r="C1552" s="179" t="str">
        <f>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19"/>
        <v/>
      </c>
      <c r="T1552" s="174" t="str">
        <f ca="1">IF(B1552="","",IF(ISERROR(MATCH($J1552,SorP!$B$1:$B$6279,0)),"",INDIRECT("'SorP'!$A$"&amp;MATCH($S1552&amp;$J1552,SorP!C:C,0))))</f>
        <v/>
      </c>
      <c r="U1552" s="194"/>
      <c r="V1552" s="218" t="e">
        <f>IF(C1552="",NA(),IF(OR(C1552="Smelter not listed",C1552="Smelter not yet identified"),MATCH($B1552&amp;$D1552,'Smelter Look-up'!$J:$J,0),MATCH($B1552&amp;$C1552,'Smelter Look-up'!$J:$J,0)))</f>
        <v>#N/A</v>
      </c>
      <c r="X1552" s="219">
        <f t="shared" ca="1" si="220"/>
        <v>0</v>
      </c>
      <c r="AB1552" s="220" t="str">
        <f t="shared" si="221"/>
        <v/>
      </c>
    </row>
    <row r="1553" spans="1:28" s="219" customFormat="1" ht="20.25">
      <c r="A1553" s="174"/>
      <c r="B1553" s="175" t="str">
        <f>IF(LEN(A1553)=0,"",INDEX('Smelter Look-up'!$A:$A,MATCH($A1553,'Smelter Look-up'!$E:$E,0)))</f>
        <v/>
      </c>
      <c r="C1553" s="179" t="str">
        <f>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19"/>
        <v/>
      </c>
      <c r="T1553" s="174" t="str">
        <f ca="1">IF(B1553="","",IF(ISERROR(MATCH($J1553,SorP!$B$1:$B$6279,0)),"",INDIRECT("'SorP'!$A$"&amp;MATCH($S1553&amp;$J1553,SorP!C:C,0))))</f>
        <v/>
      </c>
      <c r="U1553" s="194"/>
      <c r="V1553" s="218" t="e">
        <f>IF(C1553="",NA(),IF(OR(C1553="Smelter not listed",C1553="Smelter not yet identified"),MATCH($B1553&amp;$D1553,'Smelter Look-up'!$J:$J,0),MATCH($B1553&amp;$C1553,'Smelter Look-up'!$J:$J,0)))</f>
        <v>#N/A</v>
      </c>
      <c r="X1553" s="219">
        <f t="shared" ca="1" si="220"/>
        <v>0</v>
      </c>
      <c r="AB1553" s="220" t="str">
        <f t="shared" si="221"/>
        <v/>
      </c>
    </row>
    <row r="1554" spans="1:28" s="219" customFormat="1" ht="20.25">
      <c r="A1554" s="174"/>
      <c r="B1554" s="175" t="str">
        <f>IF(LEN(A1554)=0,"",INDEX('Smelter Look-up'!$A:$A,MATCH($A1554,'Smelter Look-up'!$E:$E,0)))</f>
        <v/>
      </c>
      <c r="C1554" s="179" t="str">
        <f>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219"/>
        <v/>
      </c>
      <c r="T1554" s="174" t="str">
        <f ca="1">IF(B1554="","",IF(ISERROR(MATCH($J1554,SorP!$B$1:$B$6279,0)),"",INDIRECT("'SorP'!$A$"&amp;MATCH($S1554&amp;$J1554,SorP!C:C,0))))</f>
        <v/>
      </c>
      <c r="U1554" s="194"/>
      <c r="V1554" s="218" t="e">
        <f>IF(C1554="",NA(),IF(OR(C1554="Smelter not listed",C1554="Smelter not yet identified"),MATCH($B1554&amp;$D1554,'Smelter Look-up'!$J:$J,0),MATCH($B1554&amp;$C1554,'Smelter Look-up'!$J:$J,0)))</f>
        <v>#N/A</v>
      </c>
      <c r="X1554" s="219">
        <f t="shared" ca="1" si="220"/>
        <v>0</v>
      </c>
      <c r="AB1554" s="220" t="str">
        <f t="shared" si="221"/>
        <v/>
      </c>
    </row>
    <row r="1555" spans="1:28" s="219" customFormat="1" ht="20.25">
      <c r="A1555" s="174"/>
      <c r="B1555" s="175" t="str">
        <f>IF(LEN(A1555)=0,"",INDEX('Smelter Look-up'!$A:$A,MATCH($A1555,'Smelter Look-up'!$E:$E,0)))</f>
        <v/>
      </c>
      <c r="C1555" s="179" t="str">
        <f>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219"/>
        <v/>
      </c>
      <c r="T1555" s="174" t="str">
        <f ca="1">IF(B1555="","",IF(ISERROR(MATCH($J1555,SorP!$B$1:$B$6279,0)),"",INDIRECT("'SorP'!$A$"&amp;MATCH($S1555&amp;$J1555,SorP!C:C,0))))</f>
        <v/>
      </c>
      <c r="U1555" s="194"/>
      <c r="V1555" s="218" t="e">
        <f>IF(C1555="",NA(),IF(OR(C1555="Smelter not listed",C1555="Smelter not yet identified"),MATCH($B1555&amp;$D1555,'Smelter Look-up'!$J:$J,0),MATCH($B1555&amp;$C1555,'Smelter Look-up'!$J:$J,0)))</f>
        <v>#N/A</v>
      </c>
      <c r="X1555" s="219">
        <f t="shared" ca="1" si="220"/>
        <v>0</v>
      </c>
      <c r="AB1555" s="220" t="str">
        <f t="shared" si="221"/>
        <v/>
      </c>
    </row>
    <row r="1556" spans="1:28" s="219" customFormat="1" ht="20.25">
      <c r="A1556" s="174"/>
      <c r="B1556" s="175" t="str">
        <f>IF(LEN(A1556)=0,"",INDEX('Smelter Look-up'!$A:$A,MATCH($A1556,'Smelter Look-up'!$E:$E,0)))</f>
        <v/>
      </c>
      <c r="C1556" s="179" t="str">
        <f>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19"/>
        <v/>
      </c>
      <c r="T1556" s="174" t="str">
        <f ca="1">IF(B1556="","",IF(ISERROR(MATCH($J1556,SorP!$B$1:$B$6279,0)),"",INDIRECT("'SorP'!$A$"&amp;MATCH($S1556&amp;$J1556,SorP!C:C,0))))</f>
        <v/>
      </c>
      <c r="U1556" s="194"/>
      <c r="V1556" s="218" t="e">
        <f>IF(C1556="",NA(),IF(OR(C1556="Smelter not listed",C1556="Smelter not yet identified"),MATCH($B1556&amp;$D1556,'Smelter Look-up'!$J:$J,0),MATCH($B1556&amp;$C1556,'Smelter Look-up'!$J:$J,0)))</f>
        <v>#N/A</v>
      </c>
      <c r="X1556" s="219">
        <f t="shared" ca="1" si="220"/>
        <v>0</v>
      </c>
      <c r="AB1556" s="220" t="str">
        <f t="shared" si="221"/>
        <v/>
      </c>
    </row>
    <row r="1557" spans="1:28" s="219" customFormat="1" ht="20.25">
      <c r="A1557" s="174"/>
      <c r="B1557" s="175" t="str">
        <f>IF(LEN(A1557)=0,"",INDEX('Smelter Look-up'!$A:$A,MATCH($A1557,'Smelter Look-up'!$E:$E,0)))</f>
        <v/>
      </c>
      <c r="C1557" s="179" t="str">
        <f>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19"/>
        <v/>
      </c>
      <c r="T1557" s="174" t="str">
        <f ca="1">IF(B1557="","",IF(ISERROR(MATCH($J1557,SorP!$B$1:$B$6279,0)),"",INDIRECT("'SorP'!$A$"&amp;MATCH($S1557&amp;$J1557,SorP!C:C,0))))</f>
        <v/>
      </c>
      <c r="U1557" s="194"/>
      <c r="V1557" s="218" t="e">
        <f>IF(C1557="",NA(),IF(OR(C1557="Smelter not listed",C1557="Smelter not yet identified"),MATCH($B1557&amp;$D1557,'Smelter Look-up'!$J:$J,0),MATCH($B1557&amp;$C1557,'Smelter Look-up'!$J:$J,0)))</f>
        <v>#N/A</v>
      </c>
      <c r="X1557" s="219">
        <f t="shared" ca="1" si="220"/>
        <v>0</v>
      </c>
      <c r="AB1557" s="220" t="str">
        <f t="shared" si="221"/>
        <v/>
      </c>
    </row>
    <row r="1558" spans="1:28" s="219" customFormat="1" ht="20.25">
      <c r="A1558" s="174"/>
      <c r="B1558" s="175" t="str">
        <f>IF(LEN(A1558)=0,"",INDEX('Smelter Look-up'!$A:$A,MATCH($A1558,'Smelter Look-up'!$E:$E,0)))</f>
        <v/>
      </c>
      <c r="C1558" s="179" t="str">
        <f>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19"/>
        <v/>
      </c>
      <c r="T1558" s="174" t="str">
        <f ca="1">IF(B1558="","",IF(ISERROR(MATCH($J1558,SorP!$B$1:$B$6279,0)),"",INDIRECT("'SorP'!$A$"&amp;MATCH($S1558&amp;$J1558,SorP!C:C,0))))</f>
        <v/>
      </c>
      <c r="U1558" s="194"/>
      <c r="V1558" s="218" t="e">
        <f>IF(C1558="",NA(),IF(OR(C1558="Smelter not listed",C1558="Smelter not yet identified"),MATCH($B1558&amp;$D1558,'Smelter Look-up'!$J:$J,0),MATCH($B1558&amp;$C1558,'Smelter Look-up'!$J:$J,0)))</f>
        <v>#N/A</v>
      </c>
      <c r="X1558" s="219">
        <f t="shared" ca="1" si="220"/>
        <v>0</v>
      </c>
      <c r="AB1558" s="220" t="str">
        <f t="shared" si="221"/>
        <v/>
      </c>
    </row>
    <row r="1559" spans="1:28" s="219" customFormat="1" ht="20.25">
      <c r="A1559" s="174"/>
      <c r="B1559" s="175" t="str">
        <f>IF(LEN(A1559)=0,"",INDEX('Smelter Look-up'!$A:$A,MATCH($A1559,'Smelter Look-up'!$E:$E,0)))</f>
        <v/>
      </c>
      <c r="C1559" s="179" t="str">
        <f>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19"/>
        <v/>
      </c>
      <c r="T1559" s="174" t="str">
        <f ca="1">IF(B1559="","",IF(ISERROR(MATCH($J1559,SorP!$B$1:$B$6279,0)),"",INDIRECT("'SorP'!$A$"&amp;MATCH($S1559&amp;$J1559,SorP!C:C,0))))</f>
        <v/>
      </c>
      <c r="U1559" s="194"/>
      <c r="V1559" s="218" t="e">
        <f>IF(C1559="",NA(),IF(OR(C1559="Smelter not listed",C1559="Smelter not yet identified"),MATCH($B1559&amp;$D1559,'Smelter Look-up'!$J:$J,0),MATCH($B1559&amp;$C1559,'Smelter Look-up'!$J:$J,0)))</f>
        <v>#N/A</v>
      </c>
      <c r="X1559" s="219">
        <f t="shared" ca="1" si="220"/>
        <v>0</v>
      </c>
      <c r="AB1559" s="220" t="str">
        <f t="shared" si="221"/>
        <v/>
      </c>
    </row>
    <row r="1560" spans="1:28" s="219" customFormat="1" ht="20.25">
      <c r="A1560" s="174"/>
      <c r="B1560" s="175" t="str">
        <f>IF(LEN(A1560)=0,"",INDEX('Smelter Look-up'!$A:$A,MATCH($A1560,'Smelter Look-up'!$E:$E,0)))</f>
        <v/>
      </c>
      <c r="C1560" s="179" t="str">
        <f>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19"/>
        <v/>
      </c>
      <c r="T1560" s="174" t="str">
        <f ca="1">IF(B1560="","",IF(ISERROR(MATCH($J1560,SorP!$B$1:$B$6279,0)),"",INDIRECT("'SorP'!$A$"&amp;MATCH($S1560&amp;$J1560,SorP!C:C,0))))</f>
        <v/>
      </c>
      <c r="U1560" s="194"/>
      <c r="V1560" s="218" t="e">
        <f>IF(C1560="",NA(),IF(OR(C1560="Smelter not listed",C1560="Smelter not yet identified"),MATCH($B1560&amp;$D1560,'Smelter Look-up'!$J:$J,0),MATCH($B1560&amp;$C1560,'Smelter Look-up'!$J:$J,0)))</f>
        <v>#N/A</v>
      </c>
      <c r="X1560" s="219">
        <f t="shared" ca="1" si="220"/>
        <v>0</v>
      </c>
      <c r="AB1560" s="220" t="str">
        <f t="shared" si="221"/>
        <v/>
      </c>
    </row>
    <row r="1561" spans="1:28" s="219" customFormat="1" ht="20.25">
      <c r="A1561" s="174"/>
      <c r="B1561" s="175" t="str">
        <f>IF(LEN(A1561)=0,"",INDEX('Smelter Look-up'!$A:$A,MATCH($A1561,'Smelter Look-up'!$E:$E,0)))</f>
        <v/>
      </c>
      <c r="C1561" s="179" t="str">
        <f>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19"/>
        <v/>
      </c>
      <c r="T1561" s="174" t="str">
        <f ca="1">IF(B1561="","",IF(ISERROR(MATCH($J1561,SorP!$B$1:$B$6279,0)),"",INDIRECT("'SorP'!$A$"&amp;MATCH($S1561&amp;$J1561,SorP!C:C,0))))</f>
        <v/>
      </c>
      <c r="U1561" s="194"/>
      <c r="V1561" s="218" t="e">
        <f>IF(C1561="",NA(),IF(OR(C1561="Smelter not listed",C1561="Smelter not yet identified"),MATCH($B1561&amp;$D1561,'Smelter Look-up'!$J:$J,0),MATCH($B1561&amp;$C1561,'Smelter Look-up'!$J:$J,0)))</f>
        <v>#N/A</v>
      </c>
      <c r="X1561" s="219">
        <f t="shared" ca="1" si="220"/>
        <v>0</v>
      </c>
      <c r="AB1561" s="220" t="str">
        <f t="shared" si="221"/>
        <v/>
      </c>
    </row>
    <row r="1562" spans="1:28" s="219" customFormat="1" ht="20.25">
      <c r="A1562" s="174"/>
      <c r="B1562" s="175" t="str">
        <f>IF(LEN(A1562)=0,"",INDEX('Smelter Look-up'!$A:$A,MATCH($A1562,'Smelter Look-up'!$E:$E,0)))</f>
        <v/>
      </c>
      <c r="C1562" s="179" t="str">
        <f>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219"/>
        <v/>
      </c>
      <c r="T1562" s="174" t="str">
        <f ca="1">IF(B1562="","",IF(ISERROR(MATCH($J1562,SorP!$B$1:$B$6279,0)),"",INDIRECT("'SorP'!$A$"&amp;MATCH($S1562&amp;$J1562,SorP!C:C,0))))</f>
        <v/>
      </c>
      <c r="U1562" s="194"/>
      <c r="V1562" s="218" t="e">
        <f>IF(C1562="",NA(),IF(OR(C1562="Smelter not listed",C1562="Smelter not yet identified"),MATCH($B1562&amp;$D1562,'Smelter Look-up'!$J:$J,0),MATCH($B1562&amp;$C1562,'Smelter Look-up'!$J:$J,0)))</f>
        <v>#N/A</v>
      </c>
      <c r="X1562" s="219">
        <f t="shared" ca="1" si="220"/>
        <v>0</v>
      </c>
      <c r="AB1562" s="220" t="str">
        <f t="shared" si="221"/>
        <v/>
      </c>
    </row>
    <row r="1563" spans="1:28" s="219" customFormat="1" ht="20.25">
      <c r="A1563" s="174"/>
      <c r="B1563" s="175" t="str">
        <f>IF(LEN(A1563)=0,"",INDEX('Smelter Look-up'!$A:$A,MATCH($A1563,'Smelter Look-up'!$E:$E,0)))</f>
        <v/>
      </c>
      <c r="C1563" s="179" t="str">
        <f>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219"/>
        <v/>
      </c>
      <c r="T1563" s="174" t="str">
        <f ca="1">IF(B1563="","",IF(ISERROR(MATCH($J1563,SorP!$B$1:$B$6279,0)),"",INDIRECT("'SorP'!$A$"&amp;MATCH($S1563&amp;$J1563,SorP!C:C,0))))</f>
        <v/>
      </c>
      <c r="U1563" s="194"/>
      <c r="V1563" s="218" t="e">
        <f>IF(C1563="",NA(),IF(OR(C1563="Smelter not listed",C1563="Smelter not yet identified"),MATCH($B1563&amp;$D1563,'Smelter Look-up'!$J:$J,0),MATCH($B1563&amp;$C1563,'Smelter Look-up'!$J:$J,0)))</f>
        <v>#N/A</v>
      </c>
      <c r="X1563" s="219">
        <f t="shared" ca="1" si="220"/>
        <v>0</v>
      </c>
      <c r="AB1563" s="220" t="str">
        <f t="shared" si="221"/>
        <v/>
      </c>
    </row>
    <row r="1564" spans="1:28" s="219" customFormat="1" ht="20.25">
      <c r="A1564" s="174"/>
      <c r="B1564" s="175" t="str">
        <f>IF(LEN(A1564)=0,"",INDEX('Smelter Look-up'!$A:$A,MATCH($A1564,'Smelter Look-up'!$E:$E,0)))</f>
        <v/>
      </c>
      <c r="C1564" s="179" t="str">
        <f>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ref="S1564:S1594" ca="1" si="222">IF(B1564="","",IF(ISERROR(MATCH($E1564,CL,0)),"Unknown",INDIRECT("'C'!$A$"&amp;MATCH($E1564,CL,0)+1)))</f>
        <v/>
      </c>
      <c r="T1564" s="174" t="str">
        <f ca="1">IF(B1564="","",IF(ISERROR(MATCH($J1564,SorP!$B$1:$B$6279,0)),"",INDIRECT("'SorP'!$A$"&amp;MATCH($S1564&amp;$J1564,SorP!C:C,0))))</f>
        <v/>
      </c>
      <c r="U1564" s="194"/>
      <c r="V1564" s="218" t="e">
        <f>IF(C1564="",NA(),IF(OR(C1564="Smelter not listed",C1564="Smelter not yet identified"),MATCH($B1564&amp;$D1564,'Smelter Look-up'!$J:$J,0),MATCH($B1564&amp;$C1564,'Smelter Look-up'!$J:$J,0)))</f>
        <v>#N/A</v>
      </c>
      <c r="X1564" s="219">
        <f t="shared" ref="X1564:X1594" ca="1" si="223">IF(AND(C1564="Smelter not listed",OR(LEN(D1564)=0,LEN(E1564)=0)),1,0)</f>
        <v>0</v>
      </c>
      <c r="AB1564" s="220" t="str">
        <f t="shared" ref="AB1564:AB1594" si="224">B1564&amp;C1564</f>
        <v/>
      </c>
    </row>
    <row r="1565" spans="1:28" s="219" customFormat="1" ht="20.25">
      <c r="A1565" s="174"/>
      <c r="B1565" s="175" t="str">
        <f>IF(LEN(A1565)=0,"",INDEX('Smelter Look-up'!$A:$A,MATCH($A1565,'Smelter Look-up'!$E:$E,0)))</f>
        <v/>
      </c>
      <c r="C1565" s="179" t="str">
        <f>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22"/>
        <v/>
      </c>
      <c r="T1565" s="174" t="str">
        <f ca="1">IF(B1565="","",IF(ISERROR(MATCH($J1565,SorP!$B$1:$B$6279,0)),"",INDIRECT("'SorP'!$A$"&amp;MATCH($S1565&amp;$J1565,SorP!C:C,0))))</f>
        <v/>
      </c>
      <c r="U1565" s="194"/>
      <c r="V1565" s="218" t="e">
        <f>IF(C1565="",NA(),IF(OR(C1565="Smelter not listed",C1565="Smelter not yet identified"),MATCH($B1565&amp;$D1565,'Smelter Look-up'!$J:$J,0),MATCH($B1565&amp;$C1565,'Smelter Look-up'!$J:$J,0)))</f>
        <v>#N/A</v>
      </c>
      <c r="X1565" s="219">
        <f t="shared" ca="1" si="223"/>
        <v>0</v>
      </c>
      <c r="AB1565" s="220" t="str">
        <f t="shared" si="224"/>
        <v/>
      </c>
    </row>
    <row r="1566" spans="1:28" s="219" customFormat="1" ht="20.25">
      <c r="A1566" s="174"/>
      <c r="B1566" s="175" t="str">
        <f>IF(LEN(A1566)=0,"",INDEX('Smelter Look-up'!$A:$A,MATCH($A1566,'Smelter Look-up'!$E:$E,0)))</f>
        <v/>
      </c>
      <c r="C1566" s="179" t="str">
        <f>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22"/>
        <v/>
      </c>
      <c r="T1566" s="174" t="str">
        <f ca="1">IF(B1566="","",IF(ISERROR(MATCH($J1566,SorP!$B$1:$B$6279,0)),"",INDIRECT("'SorP'!$A$"&amp;MATCH($S1566&amp;$J1566,SorP!C:C,0))))</f>
        <v/>
      </c>
      <c r="U1566" s="194"/>
      <c r="V1566" s="218" t="e">
        <f>IF(C1566="",NA(),IF(OR(C1566="Smelter not listed",C1566="Smelter not yet identified"),MATCH($B1566&amp;$D1566,'Smelter Look-up'!$J:$J,0),MATCH($B1566&amp;$C1566,'Smelter Look-up'!$J:$J,0)))</f>
        <v>#N/A</v>
      </c>
      <c r="X1566" s="219">
        <f t="shared" ca="1" si="223"/>
        <v>0</v>
      </c>
      <c r="AB1566" s="220" t="str">
        <f t="shared" si="224"/>
        <v/>
      </c>
    </row>
    <row r="1567" spans="1:28" s="219" customFormat="1" ht="20.25">
      <c r="A1567" s="174"/>
      <c r="B1567" s="175" t="str">
        <f>IF(LEN(A1567)=0,"",INDEX('Smelter Look-up'!$A:$A,MATCH($A1567,'Smelter Look-up'!$E:$E,0)))</f>
        <v/>
      </c>
      <c r="C1567" s="179" t="str">
        <f>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22"/>
        <v/>
      </c>
      <c r="T1567" s="174" t="str">
        <f ca="1">IF(B1567="","",IF(ISERROR(MATCH($J1567,SorP!$B$1:$B$6279,0)),"",INDIRECT("'SorP'!$A$"&amp;MATCH($S1567&amp;$J1567,SorP!C:C,0))))</f>
        <v/>
      </c>
      <c r="U1567" s="194"/>
      <c r="V1567" s="218" t="e">
        <f>IF(C1567="",NA(),IF(OR(C1567="Smelter not listed",C1567="Smelter not yet identified"),MATCH($B1567&amp;$D1567,'Smelter Look-up'!$J:$J,0),MATCH($B1567&amp;$C1567,'Smelter Look-up'!$J:$J,0)))</f>
        <v>#N/A</v>
      </c>
      <c r="X1567" s="219">
        <f t="shared" ca="1" si="223"/>
        <v>0</v>
      </c>
      <c r="AB1567" s="220" t="str">
        <f t="shared" si="224"/>
        <v/>
      </c>
    </row>
    <row r="1568" spans="1:28" s="219" customFormat="1" ht="20.25">
      <c r="A1568" s="174"/>
      <c r="B1568" s="175" t="str">
        <f>IF(LEN(A1568)=0,"",INDEX('Smelter Look-up'!$A:$A,MATCH($A1568,'Smelter Look-up'!$E:$E,0)))</f>
        <v/>
      </c>
      <c r="C1568" s="179" t="str">
        <f>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22"/>
        <v/>
      </c>
      <c r="T1568" s="174" t="str">
        <f ca="1">IF(B1568="","",IF(ISERROR(MATCH($J1568,SorP!$B$1:$B$6279,0)),"",INDIRECT("'SorP'!$A$"&amp;MATCH($S1568&amp;$J1568,SorP!C:C,0))))</f>
        <v/>
      </c>
      <c r="U1568" s="194"/>
      <c r="V1568" s="218" t="e">
        <f>IF(C1568="",NA(),IF(OR(C1568="Smelter not listed",C1568="Smelter not yet identified"),MATCH($B1568&amp;$D1568,'Smelter Look-up'!$J:$J,0),MATCH($B1568&amp;$C1568,'Smelter Look-up'!$J:$J,0)))</f>
        <v>#N/A</v>
      </c>
      <c r="X1568" s="219">
        <f t="shared" ca="1" si="223"/>
        <v>0</v>
      </c>
      <c r="AB1568" s="220" t="str">
        <f t="shared" si="224"/>
        <v/>
      </c>
    </row>
    <row r="1569" spans="1:28" s="219" customFormat="1" ht="20.25">
      <c r="A1569" s="174"/>
      <c r="B1569" s="175" t="str">
        <f>IF(LEN(A1569)=0,"",INDEX('Smelter Look-up'!$A:$A,MATCH($A1569,'Smelter Look-up'!$E:$E,0)))</f>
        <v/>
      </c>
      <c r="C1569" s="179" t="str">
        <f>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22"/>
        <v/>
      </c>
      <c r="T1569" s="174" t="str">
        <f ca="1">IF(B1569="","",IF(ISERROR(MATCH($J1569,SorP!$B$1:$B$6279,0)),"",INDIRECT("'SorP'!$A$"&amp;MATCH($S1569&amp;$J1569,SorP!C:C,0))))</f>
        <v/>
      </c>
      <c r="U1569" s="194"/>
      <c r="V1569" s="218" t="e">
        <f>IF(C1569="",NA(),IF(OR(C1569="Smelter not listed",C1569="Smelter not yet identified"),MATCH($B1569&amp;$D1569,'Smelter Look-up'!$J:$J,0),MATCH($B1569&amp;$C1569,'Smelter Look-up'!$J:$J,0)))</f>
        <v>#N/A</v>
      </c>
      <c r="X1569" s="219">
        <f t="shared" ca="1" si="223"/>
        <v>0</v>
      </c>
      <c r="AB1569" s="220" t="str">
        <f t="shared" si="224"/>
        <v/>
      </c>
    </row>
    <row r="1570" spans="1:28" s="219" customFormat="1" ht="20.25">
      <c r="A1570" s="174"/>
      <c r="B1570" s="175" t="str">
        <f>IF(LEN(A1570)=0,"",INDEX('Smelter Look-up'!$A:$A,MATCH($A1570,'Smelter Look-up'!$E:$E,0)))</f>
        <v/>
      </c>
      <c r="C1570" s="179" t="str">
        <f>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22"/>
        <v/>
      </c>
      <c r="T1570" s="174" t="str">
        <f ca="1">IF(B1570="","",IF(ISERROR(MATCH($J1570,SorP!$B$1:$B$6279,0)),"",INDIRECT("'SorP'!$A$"&amp;MATCH($S1570&amp;$J1570,SorP!C:C,0))))</f>
        <v/>
      </c>
      <c r="U1570" s="194"/>
      <c r="V1570" s="218" t="e">
        <f>IF(C1570="",NA(),IF(OR(C1570="Smelter not listed",C1570="Smelter not yet identified"),MATCH($B1570&amp;$D1570,'Smelter Look-up'!$J:$J,0),MATCH($B1570&amp;$C1570,'Smelter Look-up'!$J:$J,0)))</f>
        <v>#N/A</v>
      </c>
      <c r="X1570" s="219">
        <f t="shared" ca="1" si="223"/>
        <v>0</v>
      </c>
      <c r="AB1570" s="220" t="str">
        <f t="shared" si="224"/>
        <v/>
      </c>
    </row>
    <row r="1571" spans="1:28" s="219" customFormat="1" ht="20.25">
      <c r="A1571" s="174"/>
      <c r="B1571" s="175" t="str">
        <f>IF(LEN(A1571)=0,"",INDEX('Smelter Look-up'!$A:$A,MATCH($A1571,'Smelter Look-up'!$E:$E,0)))</f>
        <v/>
      </c>
      <c r="C1571" s="179" t="str">
        <f>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22"/>
        <v/>
      </c>
      <c r="T1571" s="174" t="str">
        <f ca="1">IF(B1571="","",IF(ISERROR(MATCH($J1571,SorP!$B$1:$B$6279,0)),"",INDIRECT("'SorP'!$A$"&amp;MATCH($S1571&amp;$J1571,SorP!C:C,0))))</f>
        <v/>
      </c>
      <c r="U1571" s="194"/>
      <c r="V1571" s="218" t="e">
        <f>IF(C1571="",NA(),IF(OR(C1571="Smelter not listed",C1571="Smelter not yet identified"),MATCH($B1571&amp;$D1571,'Smelter Look-up'!$J:$J,0),MATCH($B1571&amp;$C1571,'Smelter Look-up'!$J:$J,0)))</f>
        <v>#N/A</v>
      </c>
      <c r="X1571" s="219">
        <f t="shared" ca="1" si="223"/>
        <v>0</v>
      </c>
      <c r="AB1571" s="220" t="str">
        <f t="shared" si="224"/>
        <v/>
      </c>
    </row>
    <row r="1572" spans="1:28" s="219" customFormat="1" ht="20.25">
      <c r="A1572" s="174"/>
      <c r="B1572" s="175" t="str">
        <f>IF(LEN(A1572)=0,"",INDEX('Smelter Look-up'!$A:$A,MATCH($A1572,'Smelter Look-up'!$E:$E,0)))</f>
        <v/>
      </c>
      <c r="C1572" s="179" t="str">
        <f>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22"/>
        <v/>
      </c>
      <c r="T1572" s="174" t="str">
        <f ca="1">IF(B1572="","",IF(ISERROR(MATCH($J1572,SorP!$B$1:$B$6279,0)),"",INDIRECT("'SorP'!$A$"&amp;MATCH($S1572&amp;$J1572,SorP!C:C,0))))</f>
        <v/>
      </c>
      <c r="U1572" s="194"/>
      <c r="V1572" s="218" t="e">
        <f>IF(C1572="",NA(),IF(OR(C1572="Smelter not listed",C1572="Smelter not yet identified"),MATCH($B1572&amp;$D1572,'Smelter Look-up'!$J:$J,0),MATCH($B1572&amp;$C1572,'Smelter Look-up'!$J:$J,0)))</f>
        <v>#N/A</v>
      </c>
      <c r="X1572" s="219">
        <f t="shared" ca="1" si="223"/>
        <v>0</v>
      </c>
      <c r="AB1572" s="220" t="str">
        <f t="shared" si="224"/>
        <v/>
      </c>
    </row>
    <row r="1573" spans="1:28" s="219" customFormat="1" ht="20.25">
      <c r="A1573" s="174"/>
      <c r="B1573" s="175" t="str">
        <f>IF(LEN(A1573)=0,"",INDEX('Smelter Look-up'!$A:$A,MATCH($A1573,'Smelter Look-up'!$E:$E,0)))</f>
        <v/>
      </c>
      <c r="C1573" s="179" t="str">
        <f>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22"/>
        <v/>
      </c>
      <c r="T1573" s="174" t="str">
        <f ca="1">IF(B1573="","",IF(ISERROR(MATCH($J1573,SorP!$B$1:$B$6279,0)),"",INDIRECT("'SorP'!$A$"&amp;MATCH($S1573&amp;$J1573,SorP!C:C,0))))</f>
        <v/>
      </c>
      <c r="U1573" s="194"/>
      <c r="V1573" s="218" t="e">
        <f>IF(C1573="",NA(),IF(OR(C1573="Smelter not listed",C1573="Smelter not yet identified"),MATCH($B1573&amp;$D1573,'Smelter Look-up'!$J:$J,0),MATCH($B1573&amp;$C1573,'Smelter Look-up'!$J:$J,0)))</f>
        <v>#N/A</v>
      </c>
      <c r="X1573" s="219">
        <f t="shared" ca="1" si="223"/>
        <v>0</v>
      </c>
      <c r="AB1573" s="220" t="str">
        <f t="shared" si="224"/>
        <v/>
      </c>
    </row>
    <row r="1574" spans="1:28" s="219" customFormat="1" ht="20.25">
      <c r="A1574" s="174"/>
      <c r="B1574" s="175" t="str">
        <f>IF(LEN(A1574)=0,"",INDEX('Smelter Look-up'!$A:$A,MATCH($A1574,'Smelter Look-up'!$E:$E,0)))</f>
        <v/>
      </c>
      <c r="C1574" s="179" t="str">
        <f>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22"/>
        <v/>
      </c>
      <c r="T1574" s="174" t="str">
        <f ca="1">IF(B1574="","",IF(ISERROR(MATCH($J1574,SorP!$B$1:$B$6279,0)),"",INDIRECT("'SorP'!$A$"&amp;MATCH($S1574&amp;$J1574,SorP!C:C,0))))</f>
        <v/>
      </c>
      <c r="U1574" s="194"/>
      <c r="V1574" s="218" t="e">
        <f>IF(C1574="",NA(),IF(OR(C1574="Smelter not listed",C1574="Smelter not yet identified"),MATCH($B1574&amp;$D1574,'Smelter Look-up'!$J:$J,0),MATCH($B1574&amp;$C1574,'Smelter Look-up'!$J:$J,0)))</f>
        <v>#N/A</v>
      </c>
      <c r="X1574" s="219">
        <f t="shared" ca="1" si="223"/>
        <v>0</v>
      </c>
      <c r="AB1574" s="220" t="str">
        <f t="shared" si="224"/>
        <v/>
      </c>
    </row>
    <row r="1575" spans="1:28" s="219" customFormat="1" ht="20.25">
      <c r="A1575" s="174"/>
      <c r="B1575" s="175" t="str">
        <f>IF(LEN(A1575)=0,"",INDEX('Smelter Look-up'!$A:$A,MATCH($A1575,'Smelter Look-up'!$E:$E,0)))</f>
        <v/>
      </c>
      <c r="C1575" s="179" t="str">
        <f>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22"/>
        <v/>
      </c>
      <c r="T1575" s="174" t="str">
        <f ca="1">IF(B1575="","",IF(ISERROR(MATCH($J1575,SorP!$B$1:$B$6279,0)),"",INDIRECT("'SorP'!$A$"&amp;MATCH($S1575&amp;$J1575,SorP!C:C,0))))</f>
        <v/>
      </c>
      <c r="U1575" s="194"/>
      <c r="V1575" s="218" t="e">
        <f>IF(C1575="",NA(),IF(OR(C1575="Smelter not listed",C1575="Smelter not yet identified"),MATCH($B1575&amp;$D1575,'Smelter Look-up'!$J:$J,0),MATCH($B1575&amp;$C1575,'Smelter Look-up'!$J:$J,0)))</f>
        <v>#N/A</v>
      </c>
      <c r="X1575" s="219">
        <f t="shared" ca="1" si="223"/>
        <v>0</v>
      </c>
      <c r="AB1575" s="220" t="str">
        <f t="shared" si="224"/>
        <v/>
      </c>
    </row>
    <row r="1576" spans="1:28" s="219" customFormat="1" ht="20.25">
      <c r="A1576" s="174"/>
      <c r="B1576" s="175" t="str">
        <f>IF(LEN(A1576)=0,"",INDEX('Smelter Look-up'!$A:$A,MATCH($A1576,'Smelter Look-up'!$E:$E,0)))</f>
        <v/>
      </c>
      <c r="C1576" s="179" t="str">
        <f>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22"/>
        <v/>
      </c>
      <c r="T1576" s="174" t="str">
        <f ca="1">IF(B1576="","",IF(ISERROR(MATCH($J1576,SorP!$B$1:$B$6279,0)),"",INDIRECT("'SorP'!$A$"&amp;MATCH($S1576&amp;$J1576,SorP!C:C,0))))</f>
        <v/>
      </c>
      <c r="U1576" s="194"/>
      <c r="V1576" s="218" t="e">
        <f>IF(C1576="",NA(),IF(OR(C1576="Smelter not listed",C1576="Smelter not yet identified"),MATCH($B1576&amp;$D1576,'Smelter Look-up'!$J:$J,0),MATCH($B1576&amp;$C1576,'Smelter Look-up'!$J:$J,0)))</f>
        <v>#N/A</v>
      </c>
      <c r="X1576" s="219">
        <f t="shared" ca="1" si="223"/>
        <v>0</v>
      </c>
      <c r="AB1576" s="220" t="str">
        <f t="shared" si="224"/>
        <v/>
      </c>
    </row>
    <row r="1577" spans="1:28" s="219" customFormat="1" ht="20.25">
      <c r="A1577" s="174"/>
      <c r="B1577" s="175" t="str">
        <f>IF(LEN(A1577)=0,"",INDEX('Smelter Look-up'!$A:$A,MATCH($A1577,'Smelter Look-up'!$E:$E,0)))</f>
        <v/>
      </c>
      <c r="C1577" s="179" t="str">
        <f>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22"/>
        <v/>
      </c>
      <c r="T1577" s="174" t="str">
        <f ca="1">IF(B1577="","",IF(ISERROR(MATCH($J1577,SorP!$B$1:$B$6279,0)),"",INDIRECT("'SorP'!$A$"&amp;MATCH($S1577&amp;$J1577,SorP!C:C,0))))</f>
        <v/>
      </c>
      <c r="U1577" s="194"/>
      <c r="V1577" s="218" t="e">
        <f>IF(C1577="",NA(),IF(OR(C1577="Smelter not listed",C1577="Smelter not yet identified"),MATCH($B1577&amp;$D1577,'Smelter Look-up'!$J:$J,0),MATCH($B1577&amp;$C1577,'Smelter Look-up'!$J:$J,0)))</f>
        <v>#N/A</v>
      </c>
      <c r="X1577" s="219">
        <f t="shared" ca="1" si="223"/>
        <v>0</v>
      </c>
      <c r="AB1577" s="220" t="str">
        <f t="shared" si="224"/>
        <v/>
      </c>
    </row>
    <row r="1578" spans="1:28" s="219" customFormat="1" ht="20.25">
      <c r="A1578" s="174"/>
      <c r="B1578" s="175" t="str">
        <f>IF(LEN(A1578)=0,"",INDEX('Smelter Look-up'!$A:$A,MATCH($A1578,'Smelter Look-up'!$E:$E,0)))</f>
        <v/>
      </c>
      <c r="C1578" s="179" t="str">
        <f>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22"/>
        <v/>
      </c>
      <c r="T1578" s="174" t="str">
        <f ca="1">IF(B1578="","",IF(ISERROR(MATCH($J1578,SorP!$B$1:$B$6279,0)),"",INDIRECT("'SorP'!$A$"&amp;MATCH($S1578&amp;$J1578,SorP!C:C,0))))</f>
        <v/>
      </c>
      <c r="U1578" s="194"/>
      <c r="V1578" s="218" t="e">
        <f>IF(C1578="",NA(),IF(OR(C1578="Smelter not listed",C1578="Smelter not yet identified"),MATCH($B1578&amp;$D1578,'Smelter Look-up'!$J:$J,0),MATCH($B1578&amp;$C1578,'Smelter Look-up'!$J:$J,0)))</f>
        <v>#N/A</v>
      </c>
      <c r="X1578" s="219">
        <f t="shared" ca="1" si="223"/>
        <v>0</v>
      </c>
      <c r="AB1578" s="220" t="str">
        <f t="shared" si="224"/>
        <v/>
      </c>
    </row>
    <row r="1579" spans="1:28" s="219" customFormat="1" ht="20.25">
      <c r="A1579" s="174"/>
      <c r="B1579" s="175" t="str">
        <f>IF(LEN(A1579)=0,"",INDEX('Smelter Look-up'!$A:$A,MATCH($A1579,'Smelter Look-up'!$E:$E,0)))</f>
        <v/>
      </c>
      <c r="C1579" s="179" t="str">
        <f>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22"/>
        <v/>
      </c>
      <c r="T1579" s="174" t="str">
        <f ca="1">IF(B1579="","",IF(ISERROR(MATCH($J1579,SorP!$B$1:$B$6279,0)),"",INDIRECT("'SorP'!$A$"&amp;MATCH($S1579&amp;$J1579,SorP!C:C,0))))</f>
        <v/>
      </c>
      <c r="U1579" s="194"/>
      <c r="V1579" s="218" t="e">
        <f>IF(C1579="",NA(),IF(OR(C1579="Smelter not listed",C1579="Smelter not yet identified"),MATCH($B1579&amp;$D1579,'Smelter Look-up'!$J:$J,0),MATCH($B1579&amp;$C1579,'Smelter Look-up'!$J:$J,0)))</f>
        <v>#N/A</v>
      </c>
      <c r="X1579" s="219">
        <f t="shared" ca="1" si="223"/>
        <v>0</v>
      </c>
      <c r="AB1579" s="220" t="str">
        <f t="shared" si="224"/>
        <v/>
      </c>
    </row>
    <row r="1580" spans="1:28" s="219" customFormat="1" ht="20.25">
      <c r="A1580" s="174"/>
      <c r="B1580" s="175" t="str">
        <f>IF(LEN(A1580)=0,"",INDEX('Smelter Look-up'!$A:$A,MATCH($A1580,'Smelter Look-up'!$E:$E,0)))</f>
        <v/>
      </c>
      <c r="C1580" s="179" t="str">
        <f>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22"/>
        <v/>
      </c>
      <c r="T1580" s="174" t="str">
        <f ca="1">IF(B1580="","",IF(ISERROR(MATCH($J1580,SorP!$B$1:$B$6279,0)),"",INDIRECT("'SorP'!$A$"&amp;MATCH($S1580&amp;$J1580,SorP!C:C,0))))</f>
        <v/>
      </c>
      <c r="U1580" s="194"/>
      <c r="V1580" s="218" t="e">
        <f>IF(C1580="",NA(),IF(OR(C1580="Smelter not listed",C1580="Smelter not yet identified"),MATCH($B1580&amp;$D1580,'Smelter Look-up'!$J:$J,0),MATCH($B1580&amp;$C1580,'Smelter Look-up'!$J:$J,0)))</f>
        <v>#N/A</v>
      </c>
      <c r="X1580" s="219">
        <f t="shared" ca="1" si="223"/>
        <v>0</v>
      </c>
      <c r="AB1580" s="220" t="str">
        <f t="shared" si="224"/>
        <v/>
      </c>
    </row>
    <row r="1581" spans="1:28" s="219" customFormat="1" ht="20.25">
      <c r="A1581" s="174"/>
      <c r="B1581" s="175" t="str">
        <f>IF(LEN(A1581)=0,"",INDEX('Smelter Look-up'!$A:$A,MATCH($A1581,'Smelter Look-up'!$E:$E,0)))</f>
        <v/>
      </c>
      <c r="C1581" s="179" t="str">
        <f>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22"/>
        <v/>
      </c>
      <c r="T1581" s="174" t="str">
        <f ca="1">IF(B1581="","",IF(ISERROR(MATCH($J1581,SorP!$B$1:$B$6279,0)),"",INDIRECT("'SorP'!$A$"&amp;MATCH($S1581&amp;$J1581,SorP!C:C,0))))</f>
        <v/>
      </c>
      <c r="U1581" s="194"/>
      <c r="V1581" s="218" t="e">
        <f>IF(C1581="",NA(),IF(OR(C1581="Smelter not listed",C1581="Smelter not yet identified"),MATCH($B1581&amp;$D1581,'Smelter Look-up'!$J:$J,0),MATCH($B1581&amp;$C1581,'Smelter Look-up'!$J:$J,0)))</f>
        <v>#N/A</v>
      </c>
      <c r="X1581" s="219">
        <f t="shared" ca="1" si="223"/>
        <v>0</v>
      </c>
      <c r="AB1581" s="220" t="str">
        <f t="shared" si="224"/>
        <v/>
      </c>
    </row>
    <row r="1582" spans="1:28" s="219" customFormat="1" ht="20.25">
      <c r="A1582" s="174"/>
      <c r="B1582" s="175" t="str">
        <f>IF(LEN(A1582)=0,"",INDEX('Smelter Look-up'!$A:$A,MATCH($A1582,'Smelter Look-up'!$E:$E,0)))</f>
        <v/>
      </c>
      <c r="C1582" s="179" t="str">
        <f>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22"/>
        <v/>
      </c>
      <c r="T1582" s="174" t="str">
        <f ca="1">IF(B1582="","",IF(ISERROR(MATCH($J1582,SorP!$B$1:$B$6279,0)),"",INDIRECT("'SorP'!$A$"&amp;MATCH($S1582&amp;$J1582,SorP!C:C,0))))</f>
        <v/>
      </c>
      <c r="U1582" s="194"/>
      <c r="V1582" s="218" t="e">
        <f>IF(C1582="",NA(),IF(OR(C1582="Smelter not listed",C1582="Smelter not yet identified"),MATCH($B1582&amp;$D1582,'Smelter Look-up'!$J:$J,0),MATCH($B1582&amp;$C1582,'Smelter Look-up'!$J:$J,0)))</f>
        <v>#N/A</v>
      </c>
      <c r="X1582" s="219">
        <f t="shared" ca="1" si="223"/>
        <v>0</v>
      </c>
      <c r="AB1582" s="220" t="str">
        <f t="shared" si="224"/>
        <v/>
      </c>
    </row>
    <row r="1583" spans="1:28" s="219" customFormat="1" ht="20.25">
      <c r="A1583" s="174"/>
      <c r="B1583" s="175" t="str">
        <f>IF(LEN(A1583)=0,"",INDEX('Smelter Look-up'!$A:$A,MATCH($A1583,'Smelter Look-up'!$E:$E,0)))</f>
        <v/>
      </c>
      <c r="C1583" s="179" t="str">
        <f>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22"/>
        <v/>
      </c>
      <c r="T1583" s="174" t="str">
        <f ca="1">IF(B1583="","",IF(ISERROR(MATCH($J1583,SorP!$B$1:$B$6279,0)),"",INDIRECT("'SorP'!$A$"&amp;MATCH($S1583&amp;$J1583,SorP!C:C,0))))</f>
        <v/>
      </c>
      <c r="U1583" s="194"/>
      <c r="V1583" s="218" t="e">
        <f>IF(C1583="",NA(),IF(OR(C1583="Smelter not listed",C1583="Smelter not yet identified"),MATCH($B1583&amp;$D1583,'Smelter Look-up'!$J:$J,0),MATCH($B1583&amp;$C1583,'Smelter Look-up'!$J:$J,0)))</f>
        <v>#N/A</v>
      </c>
      <c r="X1583" s="219">
        <f t="shared" ca="1" si="223"/>
        <v>0</v>
      </c>
      <c r="AB1583" s="220" t="str">
        <f t="shared" si="224"/>
        <v/>
      </c>
    </row>
    <row r="1584" spans="1:28" s="219" customFormat="1" ht="20.25">
      <c r="A1584" s="174"/>
      <c r="B1584" s="175" t="str">
        <f>IF(LEN(A1584)=0,"",INDEX('Smelter Look-up'!$A:$A,MATCH($A1584,'Smelter Look-up'!$E:$E,0)))</f>
        <v/>
      </c>
      <c r="C1584" s="179" t="str">
        <f>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22"/>
        <v/>
      </c>
      <c r="T1584" s="174" t="str">
        <f ca="1">IF(B1584="","",IF(ISERROR(MATCH($J1584,SorP!$B$1:$B$6279,0)),"",INDIRECT("'SorP'!$A$"&amp;MATCH($S1584&amp;$J1584,SorP!C:C,0))))</f>
        <v/>
      </c>
      <c r="U1584" s="194"/>
      <c r="V1584" s="218" t="e">
        <f>IF(C1584="",NA(),IF(OR(C1584="Smelter not listed",C1584="Smelter not yet identified"),MATCH($B1584&amp;$D1584,'Smelter Look-up'!$J:$J,0),MATCH($B1584&amp;$C1584,'Smelter Look-up'!$J:$J,0)))</f>
        <v>#N/A</v>
      </c>
      <c r="X1584" s="219">
        <f t="shared" ca="1" si="223"/>
        <v>0</v>
      </c>
      <c r="AB1584" s="220" t="str">
        <f t="shared" si="224"/>
        <v/>
      </c>
    </row>
    <row r="1585" spans="1:28" s="219" customFormat="1" ht="20.25">
      <c r="A1585" s="174"/>
      <c r="B1585" s="175" t="str">
        <f>IF(LEN(A1585)=0,"",INDEX('Smelter Look-up'!$A:$A,MATCH($A1585,'Smelter Look-up'!$E:$E,0)))</f>
        <v/>
      </c>
      <c r="C1585" s="179" t="str">
        <f>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22"/>
        <v/>
      </c>
      <c r="T1585" s="174" t="str">
        <f ca="1">IF(B1585="","",IF(ISERROR(MATCH($J1585,SorP!$B$1:$B$6279,0)),"",INDIRECT("'SorP'!$A$"&amp;MATCH($S1585&amp;$J1585,SorP!C:C,0))))</f>
        <v/>
      </c>
      <c r="U1585" s="194"/>
      <c r="V1585" s="218" t="e">
        <f>IF(C1585="",NA(),IF(OR(C1585="Smelter not listed",C1585="Smelter not yet identified"),MATCH($B1585&amp;$D1585,'Smelter Look-up'!$J:$J,0),MATCH($B1585&amp;$C1585,'Smelter Look-up'!$J:$J,0)))</f>
        <v>#N/A</v>
      </c>
      <c r="X1585" s="219">
        <f t="shared" ca="1" si="223"/>
        <v>0</v>
      </c>
      <c r="AB1585" s="220" t="str">
        <f t="shared" si="224"/>
        <v/>
      </c>
    </row>
    <row r="1586" spans="1:28" s="219" customFormat="1" ht="20.25">
      <c r="A1586" s="174"/>
      <c r="B1586" s="175" t="str">
        <f>IF(LEN(A1586)=0,"",INDEX('Smelter Look-up'!$A:$A,MATCH($A1586,'Smelter Look-up'!$E:$E,0)))</f>
        <v/>
      </c>
      <c r="C1586" s="179" t="str">
        <f>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22"/>
        <v/>
      </c>
      <c r="T1586" s="174" t="str">
        <f ca="1">IF(B1586="","",IF(ISERROR(MATCH($J1586,SorP!$B$1:$B$6279,0)),"",INDIRECT("'SorP'!$A$"&amp;MATCH($S1586&amp;$J1586,SorP!C:C,0))))</f>
        <v/>
      </c>
      <c r="U1586" s="194"/>
      <c r="V1586" s="218" t="e">
        <f>IF(C1586="",NA(),IF(OR(C1586="Smelter not listed",C1586="Smelter not yet identified"),MATCH($B1586&amp;$D1586,'Smelter Look-up'!$J:$J,0),MATCH($B1586&amp;$C1586,'Smelter Look-up'!$J:$J,0)))</f>
        <v>#N/A</v>
      </c>
      <c r="X1586" s="219">
        <f t="shared" ca="1" si="223"/>
        <v>0</v>
      </c>
      <c r="AB1586" s="220" t="str">
        <f t="shared" si="224"/>
        <v/>
      </c>
    </row>
    <row r="1587" spans="1:28" s="219" customFormat="1" ht="20.25">
      <c r="A1587" s="174"/>
      <c r="B1587" s="175" t="str">
        <f>IF(LEN(A1587)=0,"",INDEX('Smelter Look-up'!$A:$A,MATCH($A1587,'Smelter Look-up'!$E:$E,0)))</f>
        <v/>
      </c>
      <c r="C1587" s="179" t="str">
        <f>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222"/>
        <v/>
      </c>
      <c r="T1587" s="174" t="str">
        <f ca="1">IF(B1587="","",IF(ISERROR(MATCH($J1587,SorP!$B$1:$B$6279,0)),"",INDIRECT("'SorP'!$A$"&amp;MATCH($S1587&amp;$J1587,SorP!C:C,0))))</f>
        <v/>
      </c>
      <c r="U1587" s="194"/>
      <c r="V1587" s="218" t="e">
        <f>IF(C1587="",NA(),IF(OR(C1587="Smelter not listed",C1587="Smelter not yet identified"),MATCH($B1587&amp;$D1587,'Smelter Look-up'!$J:$J,0),MATCH($B1587&amp;$C1587,'Smelter Look-up'!$J:$J,0)))</f>
        <v>#N/A</v>
      </c>
      <c r="X1587" s="219">
        <f t="shared" ca="1" si="223"/>
        <v>0</v>
      </c>
      <c r="AB1587" s="220" t="str">
        <f t="shared" si="224"/>
        <v/>
      </c>
    </row>
    <row r="1588" spans="1:28" s="219" customFormat="1" ht="20.25">
      <c r="A1588" s="174"/>
      <c r="B1588" s="175" t="str">
        <f>IF(LEN(A1588)=0,"",INDEX('Smelter Look-up'!$A:$A,MATCH($A1588,'Smelter Look-up'!$E:$E,0)))</f>
        <v/>
      </c>
      <c r="C1588" s="179" t="str">
        <f>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22"/>
        <v/>
      </c>
      <c r="T1588" s="174" t="str">
        <f ca="1">IF(B1588="","",IF(ISERROR(MATCH($J1588,SorP!$B$1:$B$6279,0)),"",INDIRECT("'SorP'!$A$"&amp;MATCH($S1588&amp;$J1588,SorP!C:C,0))))</f>
        <v/>
      </c>
      <c r="U1588" s="194"/>
      <c r="V1588" s="218" t="e">
        <f>IF(C1588="",NA(),IF(OR(C1588="Smelter not listed",C1588="Smelter not yet identified"),MATCH($B1588&amp;$D1588,'Smelter Look-up'!$J:$J,0),MATCH($B1588&amp;$C1588,'Smelter Look-up'!$J:$J,0)))</f>
        <v>#N/A</v>
      </c>
      <c r="X1588" s="219">
        <f t="shared" ca="1" si="223"/>
        <v>0</v>
      </c>
      <c r="AB1588" s="220" t="str">
        <f t="shared" si="224"/>
        <v/>
      </c>
    </row>
    <row r="1589" spans="1:28" s="219" customFormat="1" ht="20.25">
      <c r="A1589" s="174"/>
      <c r="B1589" s="175" t="str">
        <f>IF(LEN(A1589)=0,"",INDEX('Smelter Look-up'!$A:$A,MATCH($A1589,'Smelter Look-up'!$E:$E,0)))</f>
        <v/>
      </c>
      <c r="C1589" s="179" t="str">
        <f>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22"/>
        <v/>
      </c>
      <c r="T1589" s="174" t="str">
        <f ca="1">IF(B1589="","",IF(ISERROR(MATCH($J1589,SorP!$B$1:$B$6279,0)),"",INDIRECT("'SorP'!$A$"&amp;MATCH($S1589&amp;$J1589,SorP!C:C,0))))</f>
        <v/>
      </c>
      <c r="U1589" s="194"/>
      <c r="V1589" s="218" t="e">
        <f>IF(C1589="",NA(),IF(OR(C1589="Smelter not listed",C1589="Smelter not yet identified"),MATCH($B1589&amp;$D1589,'Smelter Look-up'!$J:$J,0),MATCH($B1589&amp;$C1589,'Smelter Look-up'!$J:$J,0)))</f>
        <v>#N/A</v>
      </c>
      <c r="X1589" s="219">
        <f t="shared" ca="1" si="223"/>
        <v>0</v>
      </c>
      <c r="AB1589" s="220" t="str">
        <f t="shared" si="224"/>
        <v/>
      </c>
    </row>
    <row r="1590" spans="1:28" s="219" customFormat="1" ht="20.25">
      <c r="A1590" s="174"/>
      <c r="B1590" s="175" t="str">
        <f>IF(LEN(A1590)=0,"",INDEX('Smelter Look-up'!$A:$A,MATCH($A1590,'Smelter Look-up'!$E:$E,0)))</f>
        <v/>
      </c>
      <c r="C1590" s="179" t="str">
        <f>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22"/>
        <v/>
      </c>
      <c r="T1590" s="174" t="str">
        <f ca="1">IF(B1590="","",IF(ISERROR(MATCH($J1590,SorP!$B$1:$B$6279,0)),"",INDIRECT("'SorP'!$A$"&amp;MATCH($S1590&amp;$J1590,SorP!C:C,0))))</f>
        <v/>
      </c>
      <c r="U1590" s="194"/>
      <c r="V1590" s="218" t="e">
        <f>IF(C1590="",NA(),IF(OR(C1590="Smelter not listed",C1590="Smelter not yet identified"),MATCH($B1590&amp;$D1590,'Smelter Look-up'!$J:$J,0),MATCH($B1590&amp;$C1590,'Smelter Look-up'!$J:$J,0)))</f>
        <v>#N/A</v>
      </c>
      <c r="X1590" s="219">
        <f t="shared" ca="1" si="223"/>
        <v>0</v>
      </c>
      <c r="AB1590" s="220" t="str">
        <f t="shared" si="224"/>
        <v/>
      </c>
    </row>
    <row r="1591" spans="1:28" s="219" customFormat="1" ht="20.25">
      <c r="A1591" s="174"/>
      <c r="B1591" s="175" t="str">
        <f>IF(LEN(A1591)=0,"",INDEX('Smelter Look-up'!$A:$A,MATCH($A1591,'Smelter Look-up'!$E:$E,0)))</f>
        <v/>
      </c>
      <c r="C1591" s="179" t="str">
        <f>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22"/>
        <v/>
      </c>
      <c r="T1591" s="174" t="str">
        <f ca="1">IF(B1591="","",IF(ISERROR(MATCH($J1591,SorP!$B$1:$B$6279,0)),"",INDIRECT("'SorP'!$A$"&amp;MATCH($S1591&amp;$J1591,SorP!C:C,0))))</f>
        <v/>
      </c>
      <c r="U1591" s="194"/>
      <c r="V1591" s="218" t="e">
        <f>IF(C1591="",NA(),IF(OR(C1591="Smelter not listed",C1591="Smelter not yet identified"),MATCH($B1591&amp;$D1591,'Smelter Look-up'!$J:$J,0),MATCH($B1591&amp;$C1591,'Smelter Look-up'!$J:$J,0)))</f>
        <v>#N/A</v>
      </c>
      <c r="X1591" s="219">
        <f t="shared" ca="1" si="223"/>
        <v>0</v>
      </c>
      <c r="AB1591" s="220" t="str">
        <f t="shared" si="224"/>
        <v/>
      </c>
    </row>
    <row r="1592" spans="1:28" s="219" customFormat="1" ht="20.25">
      <c r="A1592" s="174"/>
      <c r="B1592" s="175" t="str">
        <f>IF(LEN(A1592)=0,"",INDEX('Smelter Look-up'!$A:$A,MATCH($A1592,'Smelter Look-up'!$E:$E,0)))</f>
        <v/>
      </c>
      <c r="C1592" s="179" t="str">
        <f>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22"/>
        <v/>
      </c>
      <c r="T1592" s="174" t="str">
        <f ca="1">IF(B1592="","",IF(ISERROR(MATCH($J1592,SorP!$B$1:$B$6279,0)),"",INDIRECT("'SorP'!$A$"&amp;MATCH($S1592&amp;$J1592,SorP!C:C,0))))</f>
        <v/>
      </c>
      <c r="U1592" s="194"/>
      <c r="V1592" s="218" t="e">
        <f>IF(C1592="",NA(),IF(OR(C1592="Smelter not listed",C1592="Smelter not yet identified"),MATCH($B1592&amp;$D1592,'Smelter Look-up'!$J:$J,0),MATCH($B1592&amp;$C1592,'Smelter Look-up'!$J:$J,0)))</f>
        <v>#N/A</v>
      </c>
      <c r="X1592" s="219">
        <f t="shared" ca="1" si="223"/>
        <v>0</v>
      </c>
      <c r="AB1592" s="220" t="str">
        <f t="shared" si="224"/>
        <v/>
      </c>
    </row>
    <row r="1593" spans="1:28" s="219" customFormat="1" ht="20.25">
      <c r="A1593" s="174"/>
      <c r="B1593" s="175" t="str">
        <f>IF(LEN(A1593)=0,"",INDEX('Smelter Look-up'!$A:$A,MATCH($A1593,'Smelter Look-up'!$E:$E,0)))</f>
        <v/>
      </c>
      <c r="C1593" s="179" t="str">
        <f>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222"/>
        <v/>
      </c>
      <c r="T1593" s="174" t="str">
        <f ca="1">IF(B1593="","",IF(ISERROR(MATCH($J1593,SorP!$B$1:$B$6279,0)),"",INDIRECT("'SorP'!$A$"&amp;MATCH($S1593&amp;$J1593,SorP!C:C,0))))</f>
        <v/>
      </c>
      <c r="U1593" s="194"/>
      <c r="V1593" s="218" t="e">
        <f>IF(C1593="",NA(),IF(OR(C1593="Smelter not listed",C1593="Smelter not yet identified"),MATCH($B1593&amp;$D1593,'Smelter Look-up'!$J:$J,0),MATCH($B1593&amp;$C1593,'Smelter Look-up'!$J:$J,0)))</f>
        <v>#N/A</v>
      </c>
      <c r="X1593" s="219">
        <f t="shared" ca="1" si="223"/>
        <v>0</v>
      </c>
      <c r="AB1593" s="220" t="str">
        <f t="shared" si="224"/>
        <v/>
      </c>
    </row>
    <row r="1594" spans="1:28" s="219" customFormat="1" ht="20.25">
      <c r="A1594" s="174"/>
      <c r="B1594" s="175" t="str">
        <f>IF(LEN(A1594)=0,"",INDEX('Smelter Look-up'!$A:$A,MATCH($A1594,'Smelter Look-up'!$E:$E,0)))</f>
        <v/>
      </c>
      <c r="C1594" s="179" t="str">
        <f>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ca="1" si="222"/>
        <v/>
      </c>
      <c r="T1594" s="174" t="str">
        <f ca="1">IF(B1594="","",IF(ISERROR(MATCH($J1594,SorP!$B$1:$B$6279,0)),"",INDIRECT("'SorP'!$A$"&amp;MATCH($S1594&amp;$J1594,SorP!C:C,0))))</f>
        <v/>
      </c>
      <c r="U1594" s="194"/>
      <c r="V1594" s="218" t="e">
        <f>IF(C1594="",NA(),IF(OR(C1594="Smelter not listed",C1594="Smelter not yet identified"),MATCH($B1594&amp;$D1594,'Smelter Look-up'!$J:$J,0),MATCH($B1594&amp;$C1594,'Smelter Look-up'!$J:$J,0)))</f>
        <v>#N/A</v>
      </c>
      <c r="X1594" s="219">
        <f t="shared" ca="1" si="223"/>
        <v>0</v>
      </c>
      <c r="AB1594" s="220" t="str">
        <f t="shared" si="224"/>
        <v/>
      </c>
    </row>
    <row r="1595" spans="1:28" s="219" customFormat="1" ht="20.25">
      <c r="A1595" s="174"/>
      <c r="B1595" s="175" t="str">
        <f>IF(LEN(A1595)=0,"",INDEX('Smelter Look-up'!$A:$A,MATCH($A1595,'Smelter Look-up'!$E:$E,0)))</f>
        <v/>
      </c>
      <c r="C1595" s="179" t="str">
        <f>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ref="S1595" ca="1" si="225">IF(B1595="","",IF(ISERROR(MATCH($E1595,CL,0)),"Unknown",INDIRECT("'C'!$A$"&amp;MATCH($E1595,CL,0)+1)))</f>
        <v/>
      </c>
      <c r="T1595" s="174" t="str">
        <f ca="1">IF(B1595="","",IF(ISERROR(MATCH($J1595,SorP!$B$1:$B$6279,0)),"",INDIRECT("'SorP'!$A$"&amp;MATCH($S1595&amp;$J1595,SorP!C:C,0))))</f>
        <v/>
      </c>
      <c r="U1595" s="194"/>
      <c r="V1595" s="218" t="e">
        <f>IF(C1595="",NA(),IF(OR(C1595="Smelter not listed",C1595="Smelter not yet identified"),MATCH($B1595&amp;$D1595,'Smelter Look-up'!$J:$J,0),MATCH($B1595&amp;$C1595,'Smelter Look-up'!$J:$J,0)))</f>
        <v>#N/A</v>
      </c>
      <c r="X1595" s="219">
        <f t="shared" ref="X1595" ca="1" si="226">IF(AND(C1595="Smelter not listed",OR(LEN(D1595)=0,LEN(E1595)=0)),1,0)</f>
        <v>0</v>
      </c>
      <c r="AB1595" s="220" t="str">
        <f t="shared" ref="AB1595" si="227">B1595&amp;C1595</f>
        <v/>
      </c>
    </row>
    <row r="1596" spans="1:28" s="219" customFormat="1" ht="20.25">
      <c r="A1596" s="174"/>
      <c r="B1596" s="175" t="str">
        <f>IF(LEN(A1596)=0,"",INDEX('Smelter Look-up'!$A:$A,MATCH($A1596,'Smelter Look-up'!$E:$E,0)))</f>
        <v/>
      </c>
      <c r="C1596" s="179" t="str">
        <f>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ref="S1596:S1627" ca="1" si="228">IF(B1596="","",IF(ISERROR(MATCH($E1596,CL,0)),"Unknown",INDIRECT("'C'!$A$"&amp;MATCH($E1596,CL,0)+1)))</f>
        <v/>
      </c>
      <c r="T1596" s="174" t="str">
        <f ca="1">IF(B1596="","",IF(ISERROR(MATCH($J1596,SorP!$B$1:$B$6279,0)),"",INDIRECT("'SorP'!$A$"&amp;MATCH($S1596&amp;$J1596,SorP!C:C,0))))</f>
        <v/>
      </c>
      <c r="U1596" s="194"/>
      <c r="V1596" s="218" t="e">
        <f>IF(C1596="",NA(),IF(OR(C1596="Smelter not listed",C1596="Smelter not yet identified"),MATCH($B1596&amp;$D1596,'Smelter Look-up'!$J:$J,0),MATCH($B1596&amp;$C1596,'Smelter Look-up'!$J:$J,0)))</f>
        <v>#N/A</v>
      </c>
      <c r="X1596" s="219">
        <f t="shared" ref="X1596:X1627" ca="1" si="229">IF(AND(C1596="Smelter not listed",OR(LEN(D1596)=0,LEN(E1596)=0)),1,0)</f>
        <v>0</v>
      </c>
      <c r="AB1596" s="220" t="str">
        <f t="shared" ref="AB1596:AB1627" si="230">B1596&amp;C1596</f>
        <v/>
      </c>
    </row>
    <row r="1597" spans="1:28" s="219" customFormat="1" ht="20.25">
      <c r="A1597" s="174"/>
      <c r="B1597" s="175" t="str">
        <f>IF(LEN(A1597)=0,"",INDEX('Smelter Look-up'!$A:$A,MATCH($A1597,'Smelter Look-up'!$E:$E,0)))</f>
        <v/>
      </c>
      <c r="C1597" s="179" t="str">
        <f>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28"/>
        <v/>
      </c>
      <c r="T1597" s="174" t="str">
        <f ca="1">IF(B1597="","",IF(ISERROR(MATCH($J1597,SorP!$B$1:$B$6279,0)),"",INDIRECT("'SorP'!$A$"&amp;MATCH($S1597&amp;$J1597,SorP!C:C,0))))</f>
        <v/>
      </c>
      <c r="U1597" s="194"/>
      <c r="V1597" s="218" t="e">
        <f>IF(C1597="",NA(),IF(OR(C1597="Smelter not listed",C1597="Smelter not yet identified"),MATCH($B1597&amp;$D1597,'Smelter Look-up'!$J:$J,0),MATCH($B1597&amp;$C1597,'Smelter Look-up'!$J:$J,0)))</f>
        <v>#N/A</v>
      </c>
      <c r="X1597" s="219">
        <f t="shared" ca="1" si="229"/>
        <v>0</v>
      </c>
      <c r="AB1597" s="220" t="str">
        <f t="shared" si="230"/>
        <v/>
      </c>
    </row>
    <row r="1598" spans="1:28" s="219" customFormat="1" ht="20.25">
      <c r="A1598" s="174"/>
      <c r="B1598" s="175" t="str">
        <f>IF(LEN(A1598)=0,"",INDEX('Smelter Look-up'!$A:$A,MATCH($A1598,'Smelter Look-up'!$E:$E,0)))</f>
        <v/>
      </c>
      <c r="C1598" s="179" t="str">
        <f>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28"/>
        <v/>
      </c>
      <c r="T1598" s="174" t="str">
        <f ca="1">IF(B1598="","",IF(ISERROR(MATCH($J1598,SorP!$B$1:$B$6279,0)),"",INDIRECT("'SorP'!$A$"&amp;MATCH($S1598&amp;$J1598,SorP!C:C,0))))</f>
        <v/>
      </c>
      <c r="U1598" s="194"/>
      <c r="V1598" s="218" t="e">
        <f>IF(C1598="",NA(),IF(OR(C1598="Smelter not listed",C1598="Smelter not yet identified"),MATCH($B1598&amp;$D1598,'Smelter Look-up'!$J:$J,0),MATCH($B1598&amp;$C1598,'Smelter Look-up'!$J:$J,0)))</f>
        <v>#N/A</v>
      </c>
      <c r="X1598" s="219">
        <f t="shared" ca="1" si="229"/>
        <v>0</v>
      </c>
      <c r="AB1598" s="220" t="str">
        <f t="shared" si="230"/>
        <v/>
      </c>
    </row>
    <row r="1599" spans="1:28" s="219" customFormat="1" ht="20.25">
      <c r="A1599" s="174"/>
      <c r="B1599" s="175" t="str">
        <f>IF(LEN(A1599)=0,"",INDEX('Smelter Look-up'!$A:$A,MATCH($A1599,'Smelter Look-up'!$E:$E,0)))</f>
        <v/>
      </c>
      <c r="C1599" s="179" t="str">
        <f>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28"/>
        <v/>
      </c>
      <c r="T1599" s="174" t="str">
        <f ca="1">IF(B1599="","",IF(ISERROR(MATCH($J1599,SorP!$B$1:$B$6279,0)),"",INDIRECT("'SorP'!$A$"&amp;MATCH($S1599&amp;$J1599,SorP!C:C,0))))</f>
        <v/>
      </c>
      <c r="U1599" s="194"/>
      <c r="V1599" s="218" t="e">
        <f>IF(C1599="",NA(),IF(OR(C1599="Smelter not listed",C1599="Smelter not yet identified"),MATCH($B1599&amp;$D1599,'Smelter Look-up'!$J:$J,0),MATCH($B1599&amp;$C1599,'Smelter Look-up'!$J:$J,0)))</f>
        <v>#N/A</v>
      </c>
      <c r="X1599" s="219">
        <f t="shared" ca="1" si="229"/>
        <v>0</v>
      </c>
      <c r="AB1599" s="220" t="str">
        <f t="shared" si="230"/>
        <v/>
      </c>
    </row>
    <row r="1600" spans="1:28" s="219" customFormat="1" ht="20.25">
      <c r="A1600" s="174"/>
      <c r="B1600" s="175" t="str">
        <f>IF(LEN(A1600)=0,"",INDEX('Smelter Look-up'!$A:$A,MATCH($A1600,'Smelter Look-up'!$E:$E,0)))</f>
        <v/>
      </c>
      <c r="C1600" s="179" t="str">
        <f>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28"/>
        <v/>
      </c>
      <c r="T1600" s="174" t="str">
        <f ca="1">IF(B1600="","",IF(ISERROR(MATCH($J1600,SorP!$B$1:$B$6279,0)),"",INDIRECT("'SorP'!$A$"&amp;MATCH($S1600&amp;$J1600,SorP!C:C,0))))</f>
        <v/>
      </c>
      <c r="U1600" s="194"/>
      <c r="V1600" s="218" t="e">
        <f>IF(C1600="",NA(),IF(OR(C1600="Smelter not listed",C1600="Smelter not yet identified"),MATCH($B1600&amp;$D1600,'Smelter Look-up'!$J:$J,0),MATCH($B1600&amp;$C1600,'Smelter Look-up'!$J:$J,0)))</f>
        <v>#N/A</v>
      </c>
      <c r="X1600" s="219">
        <f t="shared" ca="1" si="229"/>
        <v>0</v>
      </c>
      <c r="AB1600" s="220" t="str">
        <f t="shared" si="230"/>
        <v/>
      </c>
    </row>
    <row r="1601" spans="1:28" s="219" customFormat="1" ht="20.25">
      <c r="A1601" s="174"/>
      <c r="B1601" s="175" t="str">
        <f>IF(LEN(A1601)=0,"",INDEX('Smelter Look-up'!$A:$A,MATCH($A1601,'Smelter Look-up'!$E:$E,0)))</f>
        <v/>
      </c>
      <c r="C1601" s="179" t="str">
        <f>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28"/>
        <v/>
      </c>
      <c r="T1601" s="174" t="str">
        <f ca="1">IF(B1601="","",IF(ISERROR(MATCH($J1601,SorP!$B$1:$B$6279,0)),"",INDIRECT("'SorP'!$A$"&amp;MATCH($S1601&amp;$J1601,SorP!C:C,0))))</f>
        <v/>
      </c>
      <c r="U1601" s="194"/>
      <c r="V1601" s="218" t="e">
        <f>IF(C1601="",NA(),IF(OR(C1601="Smelter not listed",C1601="Smelter not yet identified"),MATCH($B1601&amp;$D1601,'Smelter Look-up'!$J:$J,0),MATCH($B1601&amp;$C1601,'Smelter Look-up'!$J:$J,0)))</f>
        <v>#N/A</v>
      </c>
      <c r="X1601" s="219">
        <f t="shared" ca="1" si="229"/>
        <v>0</v>
      </c>
      <c r="AB1601" s="220" t="str">
        <f t="shared" si="230"/>
        <v/>
      </c>
    </row>
    <row r="1602" spans="1:28" s="219" customFormat="1" ht="20.25">
      <c r="A1602" s="174"/>
      <c r="B1602" s="175" t="str">
        <f>IF(LEN(A1602)=0,"",INDEX('Smelter Look-up'!$A:$A,MATCH($A1602,'Smelter Look-up'!$E:$E,0)))</f>
        <v/>
      </c>
      <c r="C1602" s="179" t="str">
        <f>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28"/>
        <v/>
      </c>
      <c r="T1602" s="174" t="str">
        <f ca="1">IF(B1602="","",IF(ISERROR(MATCH($J1602,SorP!$B$1:$B$6279,0)),"",INDIRECT("'SorP'!$A$"&amp;MATCH($S1602&amp;$J1602,SorP!C:C,0))))</f>
        <v/>
      </c>
      <c r="U1602" s="194"/>
      <c r="V1602" s="218" t="e">
        <f>IF(C1602="",NA(),IF(OR(C1602="Smelter not listed",C1602="Smelter not yet identified"),MATCH($B1602&amp;$D1602,'Smelter Look-up'!$J:$J,0),MATCH($B1602&amp;$C1602,'Smelter Look-up'!$J:$J,0)))</f>
        <v>#N/A</v>
      </c>
      <c r="X1602" s="219">
        <f t="shared" ca="1" si="229"/>
        <v>0</v>
      </c>
      <c r="AB1602" s="220" t="str">
        <f t="shared" si="230"/>
        <v/>
      </c>
    </row>
    <row r="1603" spans="1:28" s="219" customFormat="1" ht="20.25">
      <c r="A1603" s="174"/>
      <c r="B1603" s="175" t="str">
        <f>IF(LEN(A1603)=0,"",INDEX('Smelter Look-up'!$A:$A,MATCH($A1603,'Smelter Look-up'!$E:$E,0)))</f>
        <v/>
      </c>
      <c r="C1603" s="179" t="str">
        <f>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28"/>
        <v/>
      </c>
      <c r="T1603" s="174" t="str">
        <f ca="1">IF(B1603="","",IF(ISERROR(MATCH($J1603,SorP!$B$1:$B$6279,0)),"",INDIRECT("'SorP'!$A$"&amp;MATCH($S1603&amp;$J1603,SorP!C:C,0))))</f>
        <v/>
      </c>
      <c r="U1603" s="194"/>
      <c r="V1603" s="218" t="e">
        <f>IF(C1603="",NA(),IF(OR(C1603="Smelter not listed",C1603="Smelter not yet identified"),MATCH($B1603&amp;$D1603,'Smelter Look-up'!$J:$J,0),MATCH($B1603&amp;$C1603,'Smelter Look-up'!$J:$J,0)))</f>
        <v>#N/A</v>
      </c>
      <c r="X1603" s="219">
        <f t="shared" ca="1" si="229"/>
        <v>0</v>
      </c>
      <c r="AB1603" s="220" t="str">
        <f t="shared" si="230"/>
        <v/>
      </c>
    </row>
    <row r="1604" spans="1:28" s="219" customFormat="1" ht="20.25">
      <c r="A1604" s="174"/>
      <c r="B1604" s="175" t="str">
        <f>IF(LEN(A1604)=0,"",INDEX('Smelter Look-up'!$A:$A,MATCH($A1604,'Smelter Look-up'!$E:$E,0)))</f>
        <v/>
      </c>
      <c r="C1604" s="179" t="str">
        <f>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28"/>
        <v/>
      </c>
      <c r="T1604" s="174" t="str">
        <f ca="1">IF(B1604="","",IF(ISERROR(MATCH($J1604,SorP!$B$1:$B$6279,0)),"",INDIRECT("'SorP'!$A$"&amp;MATCH($S1604&amp;$J1604,SorP!C:C,0))))</f>
        <v/>
      </c>
      <c r="U1604" s="194"/>
      <c r="V1604" s="218" t="e">
        <f>IF(C1604="",NA(),IF(OR(C1604="Smelter not listed",C1604="Smelter not yet identified"),MATCH($B1604&amp;$D1604,'Smelter Look-up'!$J:$J,0),MATCH($B1604&amp;$C1604,'Smelter Look-up'!$J:$J,0)))</f>
        <v>#N/A</v>
      </c>
      <c r="X1604" s="219">
        <f t="shared" ca="1" si="229"/>
        <v>0</v>
      </c>
      <c r="AB1604" s="220" t="str">
        <f t="shared" si="230"/>
        <v/>
      </c>
    </row>
    <row r="1605" spans="1:28" s="219" customFormat="1" ht="20.25">
      <c r="A1605" s="174"/>
      <c r="B1605" s="175" t="str">
        <f>IF(LEN(A1605)=0,"",INDEX('Smelter Look-up'!$A:$A,MATCH($A1605,'Smelter Look-up'!$E:$E,0)))</f>
        <v/>
      </c>
      <c r="C1605" s="179" t="str">
        <f>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28"/>
        <v/>
      </c>
      <c r="T1605" s="174" t="str">
        <f ca="1">IF(B1605="","",IF(ISERROR(MATCH($J1605,SorP!$B$1:$B$6279,0)),"",INDIRECT("'SorP'!$A$"&amp;MATCH($S1605&amp;$J1605,SorP!C:C,0))))</f>
        <v/>
      </c>
      <c r="U1605" s="194"/>
      <c r="V1605" s="218" t="e">
        <f>IF(C1605="",NA(),IF(OR(C1605="Smelter not listed",C1605="Smelter not yet identified"),MATCH($B1605&amp;$D1605,'Smelter Look-up'!$J:$J,0),MATCH($B1605&amp;$C1605,'Smelter Look-up'!$J:$J,0)))</f>
        <v>#N/A</v>
      </c>
      <c r="X1605" s="219">
        <f t="shared" ca="1" si="229"/>
        <v>0</v>
      </c>
      <c r="AB1605" s="220" t="str">
        <f t="shared" si="230"/>
        <v/>
      </c>
    </row>
    <row r="1606" spans="1:28" s="219" customFormat="1" ht="20.25">
      <c r="A1606" s="174"/>
      <c r="B1606" s="175" t="str">
        <f>IF(LEN(A1606)=0,"",INDEX('Smelter Look-up'!$A:$A,MATCH($A1606,'Smelter Look-up'!$E:$E,0)))</f>
        <v/>
      </c>
      <c r="C1606" s="179" t="str">
        <f>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28"/>
        <v/>
      </c>
      <c r="T1606" s="174" t="str">
        <f ca="1">IF(B1606="","",IF(ISERROR(MATCH($J1606,SorP!$B$1:$B$6279,0)),"",INDIRECT("'SorP'!$A$"&amp;MATCH($S1606&amp;$J1606,SorP!C:C,0))))</f>
        <v/>
      </c>
      <c r="U1606" s="194"/>
      <c r="V1606" s="218" t="e">
        <f>IF(C1606="",NA(),IF(OR(C1606="Smelter not listed",C1606="Smelter not yet identified"),MATCH($B1606&amp;$D1606,'Smelter Look-up'!$J:$J,0),MATCH($B1606&amp;$C1606,'Smelter Look-up'!$J:$J,0)))</f>
        <v>#N/A</v>
      </c>
      <c r="X1606" s="219">
        <f t="shared" ca="1" si="229"/>
        <v>0</v>
      </c>
      <c r="AB1606" s="220" t="str">
        <f t="shared" si="230"/>
        <v/>
      </c>
    </row>
    <row r="1607" spans="1:28" s="219" customFormat="1" ht="20.25">
      <c r="A1607" s="174"/>
      <c r="B1607" s="175" t="str">
        <f>IF(LEN(A1607)=0,"",INDEX('Smelter Look-up'!$A:$A,MATCH($A1607,'Smelter Look-up'!$E:$E,0)))</f>
        <v/>
      </c>
      <c r="C1607" s="179" t="str">
        <f>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28"/>
        <v/>
      </c>
      <c r="T1607" s="174" t="str">
        <f ca="1">IF(B1607="","",IF(ISERROR(MATCH($J1607,SorP!$B$1:$B$6279,0)),"",INDIRECT("'SorP'!$A$"&amp;MATCH($S1607&amp;$J1607,SorP!C:C,0))))</f>
        <v/>
      </c>
      <c r="U1607" s="194"/>
      <c r="V1607" s="218" t="e">
        <f>IF(C1607="",NA(),IF(OR(C1607="Smelter not listed",C1607="Smelter not yet identified"),MATCH($B1607&amp;$D1607,'Smelter Look-up'!$J:$J,0),MATCH($B1607&amp;$C1607,'Smelter Look-up'!$J:$J,0)))</f>
        <v>#N/A</v>
      </c>
      <c r="X1607" s="219">
        <f t="shared" ca="1" si="229"/>
        <v>0</v>
      </c>
      <c r="AB1607" s="220" t="str">
        <f t="shared" si="230"/>
        <v/>
      </c>
    </row>
    <row r="1608" spans="1:28" s="219" customFormat="1" ht="20.25">
      <c r="A1608" s="174"/>
      <c r="B1608" s="175" t="str">
        <f>IF(LEN(A1608)=0,"",INDEX('Smelter Look-up'!$A:$A,MATCH($A1608,'Smelter Look-up'!$E:$E,0)))</f>
        <v/>
      </c>
      <c r="C1608" s="179" t="str">
        <f>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28"/>
        <v/>
      </c>
      <c r="T1608" s="174" t="str">
        <f ca="1">IF(B1608="","",IF(ISERROR(MATCH($J1608,SorP!$B$1:$B$6279,0)),"",INDIRECT("'SorP'!$A$"&amp;MATCH($S1608&amp;$J1608,SorP!C:C,0))))</f>
        <v/>
      </c>
      <c r="U1608" s="194"/>
      <c r="V1608" s="218" t="e">
        <f>IF(C1608="",NA(),IF(OR(C1608="Smelter not listed",C1608="Smelter not yet identified"),MATCH($B1608&amp;$D1608,'Smelter Look-up'!$J:$J,0),MATCH($B1608&amp;$C1608,'Smelter Look-up'!$J:$J,0)))</f>
        <v>#N/A</v>
      </c>
      <c r="X1608" s="219">
        <f t="shared" ca="1" si="229"/>
        <v>0</v>
      </c>
      <c r="AB1608" s="220" t="str">
        <f t="shared" si="230"/>
        <v/>
      </c>
    </row>
    <row r="1609" spans="1:28" s="219" customFormat="1" ht="20.25">
      <c r="A1609" s="174"/>
      <c r="B1609" s="175" t="str">
        <f>IF(LEN(A1609)=0,"",INDEX('Smelter Look-up'!$A:$A,MATCH($A1609,'Smelter Look-up'!$E:$E,0)))</f>
        <v/>
      </c>
      <c r="C1609" s="179" t="str">
        <f>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28"/>
        <v/>
      </c>
      <c r="T1609" s="174" t="str">
        <f ca="1">IF(B1609="","",IF(ISERROR(MATCH($J1609,SorP!$B$1:$B$6279,0)),"",INDIRECT("'SorP'!$A$"&amp;MATCH($S1609&amp;$J1609,SorP!C:C,0))))</f>
        <v/>
      </c>
      <c r="U1609" s="194"/>
      <c r="V1609" s="218" t="e">
        <f>IF(C1609="",NA(),IF(OR(C1609="Smelter not listed",C1609="Smelter not yet identified"),MATCH($B1609&amp;$D1609,'Smelter Look-up'!$J:$J,0),MATCH($B1609&amp;$C1609,'Smelter Look-up'!$J:$J,0)))</f>
        <v>#N/A</v>
      </c>
      <c r="X1609" s="219">
        <f t="shared" ca="1" si="229"/>
        <v>0</v>
      </c>
      <c r="AB1609" s="220" t="str">
        <f t="shared" si="230"/>
        <v/>
      </c>
    </row>
    <row r="1610" spans="1:28" s="219" customFormat="1" ht="20.25">
      <c r="A1610" s="174"/>
      <c r="B1610" s="175" t="str">
        <f>IF(LEN(A1610)=0,"",INDEX('Smelter Look-up'!$A:$A,MATCH($A1610,'Smelter Look-up'!$E:$E,0)))</f>
        <v/>
      </c>
      <c r="C1610" s="179" t="str">
        <f>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28"/>
        <v/>
      </c>
      <c r="T1610" s="174" t="str">
        <f ca="1">IF(B1610="","",IF(ISERROR(MATCH($J1610,SorP!$B$1:$B$6279,0)),"",INDIRECT("'SorP'!$A$"&amp;MATCH($S1610&amp;$J1610,SorP!C:C,0))))</f>
        <v/>
      </c>
      <c r="U1610" s="194"/>
      <c r="V1610" s="218" t="e">
        <f>IF(C1610="",NA(),IF(OR(C1610="Smelter not listed",C1610="Smelter not yet identified"),MATCH($B1610&amp;$D1610,'Smelter Look-up'!$J:$J,0),MATCH($B1610&amp;$C1610,'Smelter Look-up'!$J:$J,0)))</f>
        <v>#N/A</v>
      </c>
      <c r="X1610" s="219">
        <f t="shared" ca="1" si="229"/>
        <v>0</v>
      </c>
      <c r="AB1610" s="220" t="str">
        <f t="shared" si="230"/>
        <v/>
      </c>
    </row>
    <row r="1611" spans="1:28" s="219" customFormat="1" ht="20.25">
      <c r="A1611" s="174"/>
      <c r="B1611" s="175" t="str">
        <f>IF(LEN(A1611)=0,"",INDEX('Smelter Look-up'!$A:$A,MATCH($A1611,'Smelter Look-up'!$E:$E,0)))</f>
        <v/>
      </c>
      <c r="C1611" s="179" t="str">
        <f>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28"/>
        <v/>
      </c>
      <c r="T1611" s="174" t="str">
        <f ca="1">IF(B1611="","",IF(ISERROR(MATCH($J1611,SorP!$B$1:$B$6279,0)),"",INDIRECT("'SorP'!$A$"&amp;MATCH($S1611&amp;$J1611,SorP!C:C,0))))</f>
        <v/>
      </c>
      <c r="U1611" s="194"/>
      <c r="V1611" s="218" t="e">
        <f>IF(C1611="",NA(),IF(OR(C1611="Smelter not listed",C1611="Smelter not yet identified"),MATCH($B1611&amp;$D1611,'Smelter Look-up'!$J:$J,0),MATCH($B1611&amp;$C1611,'Smelter Look-up'!$J:$J,0)))</f>
        <v>#N/A</v>
      </c>
      <c r="X1611" s="219">
        <f t="shared" ca="1" si="229"/>
        <v>0</v>
      </c>
      <c r="AB1611" s="220" t="str">
        <f t="shared" si="230"/>
        <v/>
      </c>
    </row>
    <row r="1612" spans="1:28" s="219" customFormat="1" ht="20.25">
      <c r="A1612" s="174"/>
      <c r="B1612" s="175" t="str">
        <f>IF(LEN(A1612)=0,"",INDEX('Smelter Look-up'!$A:$A,MATCH($A1612,'Smelter Look-up'!$E:$E,0)))</f>
        <v/>
      </c>
      <c r="C1612" s="179" t="str">
        <f>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28"/>
        <v/>
      </c>
      <c r="T1612" s="174" t="str">
        <f ca="1">IF(B1612="","",IF(ISERROR(MATCH($J1612,SorP!$B$1:$B$6279,0)),"",INDIRECT("'SorP'!$A$"&amp;MATCH($S1612&amp;$J1612,SorP!C:C,0))))</f>
        <v/>
      </c>
      <c r="U1612" s="194"/>
      <c r="V1612" s="218" t="e">
        <f>IF(C1612="",NA(),IF(OR(C1612="Smelter not listed",C1612="Smelter not yet identified"),MATCH($B1612&amp;$D1612,'Smelter Look-up'!$J:$J,0),MATCH($B1612&amp;$C1612,'Smelter Look-up'!$J:$J,0)))</f>
        <v>#N/A</v>
      </c>
      <c r="X1612" s="219">
        <f t="shared" ca="1" si="229"/>
        <v>0</v>
      </c>
      <c r="AB1612" s="220" t="str">
        <f t="shared" si="230"/>
        <v/>
      </c>
    </row>
    <row r="1613" spans="1:28" s="219" customFormat="1" ht="20.25">
      <c r="A1613" s="174"/>
      <c r="B1613" s="175" t="str">
        <f>IF(LEN(A1613)=0,"",INDEX('Smelter Look-up'!$A:$A,MATCH($A1613,'Smelter Look-up'!$E:$E,0)))</f>
        <v/>
      </c>
      <c r="C1613" s="179" t="str">
        <f>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28"/>
        <v/>
      </c>
      <c r="T1613" s="174" t="str">
        <f ca="1">IF(B1613="","",IF(ISERROR(MATCH($J1613,SorP!$B$1:$B$6279,0)),"",INDIRECT("'SorP'!$A$"&amp;MATCH($S1613&amp;$J1613,SorP!C:C,0))))</f>
        <v/>
      </c>
      <c r="U1613" s="194"/>
      <c r="V1613" s="218" t="e">
        <f>IF(C1613="",NA(),IF(OR(C1613="Smelter not listed",C1613="Smelter not yet identified"),MATCH($B1613&amp;$D1613,'Smelter Look-up'!$J:$J,0),MATCH($B1613&amp;$C1613,'Smelter Look-up'!$J:$J,0)))</f>
        <v>#N/A</v>
      </c>
      <c r="X1613" s="219">
        <f t="shared" ca="1" si="229"/>
        <v>0</v>
      </c>
      <c r="AB1613" s="220" t="str">
        <f t="shared" si="230"/>
        <v/>
      </c>
    </row>
    <row r="1614" spans="1:28" s="219" customFormat="1" ht="20.25">
      <c r="A1614" s="174"/>
      <c r="B1614" s="175" t="str">
        <f>IF(LEN(A1614)=0,"",INDEX('Smelter Look-up'!$A:$A,MATCH($A1614,'Smelter Look-up'!$E:$E,0)))</f>
        <v/>
      </c>
      <c r="C1614" s="179" t="str">
        <f>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28"/>
        <v/>
      </c>
      <c r="T1614" s="174" t="str">
        <f ca="1">IF(B1614="","",IF(ISERROR(MATCH($J1614,SorP!$B$1:$B$6279,0)),"",INDIRECT("'SorP'!$A$"&amp;MATCH($S1614&amp;$J1614,SorP!C:C,0))))</f>
        <v/>
      </c>
      <c r="U1614" s="194"/>
      <c r="V1614" s="218" t="e">
        <f>IF(C1614="",NA(),IF(OR(C1614="Smelter not listed",C1614="Smelter not yet identified"),MATCH($B1614&amp;$D1614,'Smelter Look-up'!$J:$J,0),MATCH($B1614&amp;$C1614,'Smelter Look-up'!$J:$J,0)))</f>
        <v>#N/A</v>
      </c>
      <c r="X1614" s="219">
        <f t="shared" ca="1" si="229"/>
        <v>0</v>
      </c>
      <c r="AB1614" s="220" t="str">
        <f t="shared" si="230"/>
        <v/>
      </c>
    </row>
    <row r="1615" spans="1:28" s="219" customFormat="1" ht="20.25">
      <c r="A1615" s="174"/>
      <c r="B1615" s="175" t="str">
        <f>IF(LEN(A1615)=0,"",INDEX('Smelter Look-up'!$A:$A,MATCH($A1615,'Smelter Look-up'!$E:$E,0)))</f>
        <v/>
      </c>
      <c r="C1615" s="179" t="str">
        <f>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28"/>
        <v/>
      </c>
      <c r="T1615" s="174" t="str">
        <f ca="1">IF(B1615="","",IF(ISERROR(MATCH($J1615,SorP!$B$1:$B$6279,0)),"",INDIRECT("'SorP'!$A$"&amp;MATCH($S1615&amp;$J1615,SorP!C:C,0))))</f>
        <v/>
      </c>
      <c r="U1615" s="194"/>
      <c r="V1615" s="218" t="e">
        <f>IF(C1615="",NA(),IF(OR(C1615="Smelter not listed",C1615="Smelter not yet identified"),MATCH($B1615&amp;$D1615,'Smelter Look-up'!$J:$J,0),MATCH($B1615&amp;$C1615,'Smelter Look-up'!$J:$J,0)))</f>
        <v>#N/A</v>
      </c>
      <c r="X1615" s="219">
        <f t="shared" ca="1" si="229"/>
        <v>0</v>
      </c>
      <c r="AB1615" s="220" t="str">
        <f t="shared" si="230"/>
        <v/>
      </c>
    </row>
    <row r="1616" spans="1:28" s="219" customFormat="1" ht="20.25">
      <c r="A1616" s="174"/>
      <c r="B1616" s="175" t="str">
        <f>IF(LEN(A1616)=0,"",INDEX('Smelter Look-up'!$A:$A,MATCH($A1616,'Smelter Look-up'!$E:$E,0)))</f>
        <v/>
      </c>
      <c r="C1616" s="179" t="str">
        <f>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28"/>
        <v/>
      </c>
      <c r="T1616" s="174" t="str">
        <f ca="1">IF(B1616="","",IF(ISERROR(MATCH($J1616,SorP!$B$1:$B$6279,0)),"",INDIRECT("'SorP'!$A$"&amp;MATCH($S1616&amp;$J1616,SorP!C:C,0))))</f>
        <v/>
      </c>
      <c r="U1616" s="194"/>
      <c r="V1616" s="218" t="e">
        <f>IF(C1616="",NA(),IF(OR(C1616="Smelter not listed",C1616="Smelter not yet identified"),MATCH($B1616&amp;$D1616,'Smelter Look-up'!$J:$J,0),MATCH($B1616&amp;$C1616,'Smelter Look-up'!$J:$J,0)))</f>
        <v>#N/A</v>
      </c>
      <c r="X1616" s="219">
        <f t="shared" ca="1" si="229"/>
        <v>0</v>
      </c>
      <c r="AB1616" s="220" t="str">
        <f t="shared" si="230"/>
        <v/>
      </c>
    </row>
    <row r="1617" spans="1:28" s="219" customFormat="1" ht="20.25">
      <c r="A1617" s="174"/>
      <c r="B1617" s="175" t="str">
        <f>IF(LEN(A1617)=0,"",INDEX('Smelter Look-up'!$A:$A,MATCH($A1617,'Smelter Look-up'!$E:$E,0)))</f>
        <v/>
      </c>
      <c r="C1617" s="179" t="str">
        <f>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28"/>
        <v/>
      </c>
      <c r="T1617" s="174" t="str">
        <f ca="1">IF(B1617="","",IF(ISERROR(MATCH($J1617,SorP!$B$1:$B$6279,0)),"",INDIRECT("'SorP'!$A$"&amp;MATCH($S1617&amp;$J1617,SorP!C:C,0))))</f>
        <v/>
      </c>
      <c r="U1617" s="194"/>
      <c r="V1617" s="218" t="e">
        <f>IF(C1617="",NA(),IF(OR(C1617="Smelter not listed",C1617="Smelter not yet identified"),MATCH($B1617&amp;$D1617,'Smelter Look-up'!$J:$J,0),MATCH($B1617&amp;$C1617,'Smelter Look-up'!$J:$J,0)))</f>
        <v>#N/A</v>
      </c>
      <c r="X1617" s="219">
        <f t="shared" ca="1" si="229"/>
        <v>0</v>
      </c>
      <c r="AB1617" s="220" t="str">
        <f t="shared" si="230"/>
        <v/>
      </c>
    </row>
    <row r="1618" spans="1:28" s="219" customFormat="1" ht="20.25">
      <c r="A1618" s="174"/>
      <c r="B1618" s="175" t="str">
        <f>IF(LEN(A1618)=0,"",INDEX('Smelter Look-up'!$A:$A,MATCH($A1618,'Smelter Look-up'!$E:$E,0)))</f>
        <v/>
      </c>
      <c r="C1618" s="179" t="str">
        <f>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228"/>
        <v/>
      </c>
      <c r="T1618" s="174" t="str">
        <f ca="1">IF(B1618="","",IF(ISERROR(MATCH($J1618,SorP!$B$1:$B$6279,0)),"",INDIRECT("'SorP'!$A$"&amp;MATCH($S1618&amp;$J1618,SorP!C:C,0))))</f>
        <v/>
      </c>
      <c r="U1618" s="194"/>
      <c r="V1618" s="218" t="e">
        <f>IF(C1618="",NA(),IF(OR(C1618="Smelter not listed",C1618="Smelter not yet identified"),MATCH($B1618&amp;$D1618,'Smelter Look-up'!$J:$J,0),MATCH($B1618&amp;$C1618,'Smelter Look-up'!$J:$J,0)))</f>
        <v>#N/A</v>
      </c>
      <c r="X1618" s="219">
        <f t="shared" ca="1" si="229"/>
        <v>0</v>
      </c>
      <c r="AB1618" s="220" t="str">
        <f t="shared" si="230"/>
        <v/>
      </c>
    </row>
    <row r="1619" spans="1:28" s="219" customFormat="1" ht="20.25">
      <c r="A1619" s="174"/>
      <c r="B1619" s="175" t="str">
        <f>IF(LEN(A1619)=0,"",INDEX('Smelter Look-up'!$A:$A,MATCH($A1619,'Smelter Look-up'!$E:$E,0)))</f>
        <v/>
      </c>
      <c r="C1619" s="179" t="str">
        <f>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228"/>
        <v/>
      </c>
      <c r="T1619" s="174" t="str">
        <f ca="1">IF(B1619="","",IF(ISERROR(MATCH($J1619,SorP!$B$1:$B$6279,0)),"",INDIRECT("'SorP'!$A$"&amp;MATCH($S1619&amp;$J1619,SorP!C:C,0))))</f>
        <v/>
      </c>
      <c r="U1619" s="194"/>
      <c r="V1619" s="218" t="e">
        <f>IF(C1619="",NA(),IF(OR(C1619="Smelter not listed",C1619="Smelter not yet identified"),MATCH($B1619&amp;$D1619,'Smelter Look-up'!$J:$J,0),MATCH($B1619&amp;$C1619,'Smelter Look-up'!$J:$J,0)))</f>
        <v>#N/A</v>
      </c>
      <c r="X1619" s="219">
        <f t="shared" ca="1" si="229"/>
        <v>0</v>
      </c>
      <c r="AB1619" s="220" t="str">
        <f t="shared" si="230"/>
        <v/>
      </c>
    </row>
    <row r="1620" spans="1:28" s="219" customFormat="1" ht="20.25">
      <c r="A1620" s="174"/>
      <c r="B1620" s="175" t="str">
        <f>IF(LEN(A1620)=0,"",INDEX('Smelter Look-up'!$A:$A,MATCH($A1620,'Smelter Look-up'!$E:$E,0)))</f>
        <v/>
      </c>
      <c r="C1620" s="179" t="str">
        <f>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28"/>
        <v/>
      </c>
      <c r="T1620" s="174" t="str">
        <f ca="1">IF(B1620="","",IF(ISERROR(MATCH($J1620,SorP!$B$1:$B$6279,0)),"",INDIRECT("'SorP'!$A$"&amp;MATCH($S1620&amp;$J1620,SorP!C:C,0))))</f>
        <v/>
      </c>
      <c r="U1620" s="194"/>
      <c r="V1620" s="218" t="e">
        <f>IF(C1620="",NA(),IF(OR(C1620="Smelter not listed",C1620="Smelter not yet identified"),MATCH($B1620&amp;$D1620,'Smelter Look-up'!$J:$J,0),MATCH($B1620&amp;$C1620,'Smelter Look-up'!$J:$J,0)))</f>
        <v>#N/A</v>
      </c>
      <c r="X1620" s="219">
        <f t="shared" ca="1" si="229"/>
        <v>0</v>
      </c>
      <c r="AB1620" s="220" t="str">
        <f t="shared" si="230"/>
        <v/>
      </c>
    </row>
    <row r="1621" spans="1:28" s="219" customFormat="1" ht="20.25">
      <c r="A1621" s="174"/>
      <c r="B1621" s="175" t="str">
        <f>IF(LEN(A1621)=0,"",INDEX('Smelter Look-up'!$A:$A,MATCH($A1621,'Smelter Look-up'!$E:$E,0)))</f>
        <v/>
      </c>
      <c r="C1621" s="179" t="str">
        <f>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28"/>
        <v/>
      </c>
      <c r="T1621" s="174" t="str">
        <f ca="1">IF(B1621="","",IF(ISERROR(MATCH($J1621,SorP!$B$1:$B$6279,0)),"",INDIRECT("'SorP'!$A$"&amp;MATCH($S1621&amp;$J1621,SorP!C:C,0))))</f>
        <v/>
      </c>
      <c r="U1621" s="194"/>
      <c r="V1621" s="218" t="e">
        <f>IF(C1621="",NA(),IF(OR(C1621="Smelter not listed",C1621="Smelter not yet identified"),MATCH($B1621&amp;$D1621,'Smelter Look-up'!$J:$J,0),MATCH($B1621&amp;$C1621,'Smelter Look-up'!$J:$J,0)))</f>
        <v>#N/A</v>
      </c>
      <c r="X1621" s="219">
        <f t="shared" ca="1" si="229"/>
        <v>0</v>
      </c>
      <c r="AB1621" s="220" t="str">
        <f t="shared" si="230"/>
        <v/>
      </c>
    </row>
    <row r="1622" spans="1:28" s="219" customFormat="1" ht="20.25">
      <c r="A1622" s="174"/>
      <c r="B1622" s="175" t="str">
        <f>IF(LEN(A1622)=0,"",INDEX('Smelter Look-up'!$A:$A,MATCH($A1622,'Smelter Look-up'!$E:$E,0)))</f>
        <v/>
      </c>
      <c r="C1622" s="179" t="str">
        <f>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28"/>
        <v/>
      </c>
      <c r="T1622" s="174" t="str">
        <f ca="1">IF(B1622="","",IF(ISERROR(MATCH($J1622,SorP!$B$1:$B$6279,0)),"",INDIRECT("'SorP'!$A$"&amp;MATCH($S1622&amp;$J1622,SorP!C:C,0))))</f>
        <v/>
      </c>
      <c r="U1622" s="194"/>
      <c r="V1622" s="218" t="e">
        <f>IF(C1622="",NA(),IF(OR(C1622="Smelter not listed",C1622="Smelter not yet identified"),MATCH($B1622&amp;$D1622,'Smelter Look-up'!$J:$J,0),MATCH($B1622&amp;$C1622,'Smelter Look-up'!$J:$J,0)))</f>
        <v>#N/A</v>
      </c>
      <c r="X1622" s="219">
        <f t="shared" ca="1" si="229"/>
        <v>0</v>
      </c>
      <c r="AB1622" s="220" t="str">
        <f t="shared" si="230"/>
        <v/>
      </c>
    </row>
    <row r="1623" spans="1:28" s="219" customFormat="1" ht="20.25">
      <c r="A1623" s="174"/>
      <c r="B1623" s="175" t="str">
        <f>IF(LEN(A1623)=0,"",INDEX('Smelter Look-up'!$A:$A,MATCH($A1623,'Smelter Look-up'!$E:$E,0)))</f>
        <v/>
      </c>
      <c r="C1623" s="179" t="str">
        <f>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28"/>
        <v/>
      </c>
      <c r="T1623" s="174" t="str">
        <f ca="1">IF(B1623="","",IF(ISERROR(MATCH($J1623,SorP!$B$1:$B$6279,0)),"",INDIRECT("'SorP'!$A$"&amp;MATCH($S1623&amp;$J1623,SorP!C:C,0))))</f>
        <v/>
      </c>
      <c r="U1623" s="194"/>
      <c r="V1623" s="218" t="e">
        <f>IF(C1623="",NA(),IF(OR(C1623="Smelter not listed",C1623="Smelter not yet identified"),MATCH($B1623&amp;$D1623,'Smelter Look-up'!$J:$J,0),MATCH($B1623&amp;$C1623,'Smelter Look-up'!$J:$J,0)))</f>
        <v>#N/A</v>
      </c>
      <c r="X1623" s="219">
        <f t="shared" ca="1" si="229"/>
        <v>0</v>
      </c>
      <c r="AB1623" s="220" t="str">
        <f t="shared" si="230"/>
        <v/>
      </c>
    </row>
    <row r="1624" spans="1:28" s="219" customFormat="1" ht="20.25">
      <c r="A1624" s="174"/>
      <c r="B1624" s="175" t="str">
        <f>IF(LEN(A1624)=0,"",INDEX('Smelter Look-up'!$A:$A,MATCH($A1624,'Smelter Look-up'!$E:$E,0)))</f>
        <v/>
      </c>
      <c r="C1624" s="179" t="str">
        <f>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28"/>
        <v/>
      </c>
      <c r="T1624" s="174" t="str">
        <f ca="1">IF(B1624="","",IF(ISERROR(MATCH($J1624,SorP!$B$1:$B$6279,0)),"",INDIRECT("'SorP'!$A$"&amp;MATCH($S1624&amp;$J1624,SorP!C:C,0))))</f>
        <v/>
      </c>
      <c r="U1624" s="194"/>
      <c r="V1624" s="218" t="e">
        <f>IF(C1624="",NA(),IF(OR(C1624="Smelter not listed",C1624="Smelter not yet identified"),MATCH($B1624&amp;$D1624,'Smelter Look-up'!$J:$J,0),MATCH($B1624&amp;$C1624,'Smelter Look-up'!$J:$J,0)))</f>
        <v>#N/A</v>
      </c>
      <c r="X1624" s="219">
        <f t="shared" ca="1" si="229"/>
        <v>0</v>
      </c>
      <c r="AB1624" s="220" t="str">
        <f t="shared" si="230"/>
        <v/>
      </c>
    </row>
    <row r="1625" spans="1:28" s="219" customFormat="1" ht="20.25">
      <c r="A1625" s="174"/>
      <c r="B1625" s="175" t="str">
        <f>IF(LEN(A1625)=0,"",INDEX('Smelter Look-up'!$A:$A,MATCH($A1625,'Smelter Look-up'!$E:$E,0)))</f>
        <v/>
      </c>
      <c r="C1625" s="179" t="str">
        <f>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28"/>
        <v/>
      </c>
      <c r="T1625" s="174" t="str">
        <f ca="1">IF(B1625="","",IF(ISERROR(MATCH($J1625,SorP!$B$1:$B$6279,0)),"",INDIRECT("'SorP'!$A$"&amp;MATCH($S1625&amp;$J1625,SorP!C:C,0))))</f>
        <v/>
      </c>
      <c r="U1625" s="194"/>
      <c r="V1625" s="218" t="e">
        <f>IF(C1625="",NA(),IF(OR(C1625="Smelter not listed",C1625="Smelter not yet identified"),MATCH($B1625&amp;$D1625,'Smelter Look-up'!$J:$J,0),MATCH($B1625&amp;$C1625,'Smelter Look-up'!$J:$J,0)))</f>
        <v>#N/A</v>
      </c>
      <c r="X1625" s="219">
        <f t="shared" ca="1" si="229"/>
        <v>0</v>
      </c>
      <c r="AB1625" s="220" t="str">
        <f t="shared" si="230"/>
        <v/>
      </c>
    </row>
    <row r="1626" spans="1:28" s="219" customFormat="1" ht="20.25">
      <c r="A1626" s="174"/>
      <c r="B1626" s="175" t="str">
        <f>IF(LEN(A1626)=0,"",INDEX('Smelter Look-up'!$A:$A,MATCH($A1626,'Smelter Look-up'!$E:$E,0)))</f>
        <v/>
      </c>
      <c r="C1626" s="179" t="str">
        <f>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228"/>
        <v/>
      </c>
      <c r="T1626" s="174" t="str">
        <f ca="1">IF(B1626="","",IF(ISERROR(MATCH($J1626,SorP!$B$1:$B$6279,0)),"",INDIRECT("'SorP'!$A$"&amp;MATCH($S1626&amp;$J1626,SorP!C:C,0))))</f>
        <v/>
      </c>
      <c r="U1626" s="194"/>
      <c r="V1626" s="218" t="e">
        <f>IF(C1626="",NA(),IF(OR(C1626="Smelter not listed",C1626="Smelter not yet identified"),MATCH($B1626&amp;$D1626,'Smelter Look-up'!$J:$J,0),MATCH($B1626&amp;$C1626,'Smelter Look-up'!$J:$J,0)))</f>
        <v>#N/A</v>
      </c>
      <c r="X1626" s="219">
        <f t="shared" ca="1" si="229"/>
        <v>0</v>
      </c>
      <c r="AB1626" s="220" t="str">
        <f t="shared" si="230"/>
        <v/>
      </c>
    </row>
    <row r="1627" spans="1:28" s="219" customFormat="1" ht="20.25">
      <c r="A1627" s="174"/>
      <c r="B1627" s="175" t="str">
        <f>IF(LEN(A1627)=0,"",INDEX('Smelter Look-up'!$A:$A,MATCH($A1627,'Smelter Look-up'!$E:$E,0)))</f>
        <v/>
      </c>
      <c r="C1627" s="179" t="str">
        <f>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228"/>
        <v/>
      </c>
      <c r="T1627" s="174" t="str">
        <f ca="1">IF(B1627="","",IF(ISERROR(MATCH($J1627,SorP!$B$1:$B$6279,0)),"",INDIRECT("'SorP'!$A$"&amp;MATCH($S1627&amp;$J1627,SorP!C:C,0))))</f>
        <v/>
      </c>
      <c r="U1627" s="194"/>
      <c r="V1627" s="218" t="e">
        <f>IF(C1627="",NA(),IF(OR(C1627="Smelter not listed",C1627="Smelter not yet identified"),MATCH($B1627&amp;$D1627,'Smelter Look-up'!$J:$J,0),MATCH($B1627&amp;$C1627,'Smelter Look-up'!$J:$J,0)))</f>
        <v>#N/A</v>
      </c>
      <c r="X1627" s="219">
        <f t="shared" ca="1" si="229"/>
        <v>0</v>
      </c>
      <c r="AB1627" s="220" t="str">
        <f t="shared" si="230"/>
        <v/>
      </c>
    </row>
    <row r="1628" spans="1:28" s="219" customFormat="1" ht="20.25">
      <c r="A1628" s="174"/>
      <c r="B1628" s="175" t="str">
        <f>IF(LEN(A1628)=0,"",INDEX('Smelter Look-up'!$A:$A,MATCH($A1628,'Smelter Look-up'!$E:$E,0)))</f>
        <v/>
      </c>
      <c r="C1628" s="179" t="str">
        <f>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ref="S1628:S1658" ca="1" si="231">IF(B1628="","",IF(ISERROR(MATCH($E1628,CL,0)),"Unknown",INDIRECT("'C'!$A$"&amp;MATCH($E1628,CL,0)+1)))</f>
        <v/>
      </c>
      <c r="T1628" s="174" t="str">
        <f ca="1">IF(B1628="","",IF(ISERROR(MATCH($J1628,SorP!$B$1:$B$6279,0)),"",INDIRECT("'SorP'!$A$"&amp;MATCH($S1628&amp;$J1628,SorP!C:C,0))))</f>
        <v/>
      </c>
      <c r="U1628" s="194"/>
      <c r="V1628" s="218" t="e">
        <f>IF(C1628="",NA(),IF(OR(C1628="Smelter not listed",C1628="Smelter not yet identified"),MATCH($B1628&amp;$D1628,'Smelter Look-up'!$J:$J,0),MATCH($B1628&amp;$C1628,'Smelter Look-up'!$J:$J,0)))</f>
        <v>#N/A</v>
      </c>
      <c r="X1628" s="219">
        <f t="shared" ref="X1628:X1658" ca="1" si="232">IF(AND(C1628="Smelter not listed",OR(LEN(D1628)=0,LEN(E1628)=0)),1,0)</f>
        <v>0</v>
      </c>
      <c r="AB1628" s="220" t="str">
        <f t="shared" ref="AB1628:AB1658" si="233">B1628&amp;C1628</f>
        <v/>
      </c>
    </row>
    <row r="1629" spans="1:28" s="219" customFormat="1" ht="20.25">
      <c r="A1629" s="174"/>
      <c r="B1629" s="175" t="str">
        <f>IF(LEN(A1629)=0,"",INDEX('Smelter Look-up'!$A:$A,MATCH($A1629,'Smelter Look-up'!$E:$E,0)))</f>
        <v/>
      </c>
      <c r="C1629" s="179" t="str">
        <f>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31"/>
        <v/>
      </c>
      <c r="T1629" s="174" t="str">
        <f ca="1">IF(B1629="","",IF(ISERROR(MATCH($J1629,SorP!$B$1:$B$6279,0)),"",INDIRECT("'SorP'!$A$"&amp;MATCH($S1629&amp;$J1629,SorP!C:C,0))))</f>
        <v/>
      </c>
      <c r="U1629" s="194"/>
      <c r="V1629" s="218" t="e">
        <f>IF(C1629="",NA(),IF(OR(C1629="Smelter not listed",C1629="Smelter not yet identified"),MATCH($B1629&amp;$D1629,'Smelter Look-up'!$J:$J,0),MATCH($B1629&amp;$C1629,'Smelter Look-up'!$J:$J,0)))</f>
        <v>#N/A</v>
      </c>
      <c r="X1629" s="219">
        <f t="shared" ca="1" si="232"/>
        <v>0</v>
      </c>
      <c r="AB1629" s="220" t="str">
        <f t="shared" si="233"/>
        <v/>
      </c>
    </row>
    <row r="1630" spans="1:28" s="219" customFormat="1" ht="20.25">
      <c r="A1630" s="174"/>
      <c r="B1630" s="175" t="str">
        <f>IF(LEN(A1630)=0,"",INDEX('Smelter Look-up'!$A:$A,MATCH($A1630,'Smelter Look-up'!$E:$E,0)))</f>
        <v/>
      </c>
      <c r="C1630" s="179" t="str">
        <f>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31"/>
        <v/>
      </c>
      <c r="T1630" s="174" t="str">
        <f ca="1">IF(B1630="","",IF(ISERROR(MATCH($J1630,SorP!$B$1:$B$6279,0)),"",INDIRECT("'SorP'!$A$"&amp;MATCH($S1630&amp;$J1630,SorP!C:C,0))))</f>
        <v/>
      </c>
      <c r="U1630" s="194"/>
      <c r="V1630" s="218" t="e">
        <f>IF(C1630="",NA(),IF(OR(C1630="Smelter not listed",C1630="Smelter not yet identified"),MATCH($B1630&amp;$D1630,'Smelter Look-up'!$J:$J,0),MATCH($B1630&amp;$C1630,'Smelter Look-up'!$J:$J,0)))</f>
        <v>#N/A</v>
      </c>
      <c r="X1630" s="219">
        <f t="shared" ca="1" si="232"/>
        <v>0</v>
      </c>
      <c r="AB1630" s="220" t="str">
        <f t="shared" si="233"/>
        <v/>
      </c>
    </row>
    <row r="1631" spans="1:28" s="219" customFormat="1" ht="20.25">
      <c r="A1631" s="174"/>
      <c r="B1631" s="175" t="str">
        <f>IF(LEN(A1631)=0,"",INDEX('Smelter Look-up'!$A:$A,MATCH($A1631,'Smelter Look-up'!$E:$E,0)))</f>
        <v/>
      </c>
      <c r="C1631" s="179" t="str">
        <f>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31"/>
        <v/>
      </c>
      <c r="T1631" s="174" t="str">
        <f ca="1">IF(B1631="","",IF(ISERROR(MATCH($J1631,SorP!$B$1:$B$6279,0)),"",INDIRECT("'SorP'!$A$"&amp;MATCH($S1631&amp;$J1631,SorP!C:C,0))))</f>
        <v/>
      </c>
      <c r="U1631" s="194"/>
      <c r="V1631" s="218" t="e">
        <f>IF(C1631="",NA(),IF(OR(C1631="Smelter not listed",C1631="Smelter not yet identified"),MATCH($B1631&amp;$D1631,'Smelter Look-up'!$J:$J,0),MATCH($B1631&amp;$C1631,'Smelter Look-up'!$J:$J,0)))</f>
        <v>#N/A</v>
      </c>
      <c r="X1631" s="219">
        <f t="shared" ca="1" si="232"/>
        <v>0</v>
      </c>
      <c r="AB1631" s="220" t="str">
        <f t="shared" si="233"/>
        <v/>
      </c>
    </row>
    <row r="1632" spans="1:28" s="219" customFormat="1" ht="20.25">
      <c r="A1632" s="174"/>
      <c r="B1632" s="175" t="str">
        <f>IF(LEN(A1632)=0,"",INDEX('Smelter Look-up'!$A:$A,MATCH($A1632,'Smelter Look-up'!$E:$E,0)))</f>
        <v/>
      </c>
      <c r="C1632" s="179" t="str">
        <f>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31"/>
        <v/>
      </c>
      <c r="T1632" s="174" t="str">
        <f ca="1">IF(B1632="","",IF(ISERROR(MATCH($J1632,SorP!$B$1:$B$6279,0)),"",INDIRECT("'SorP'!$A$"&amp;MATCH($S1632&amp;$J1632,SorP!C:C,0))))</f>
        <v/>
      </c>
      <c r="U1632" s="194"/>
      <c r="V1632" s="218" t="e">
        <f>IF(C1632="",NA(),IF(OR(C1632="Smelter not listed",C1632="Smelter not yet identified"),MATCH($B1632&amp;$D1632,'Smelter Look-up'!$J:$J,0),MATCH($B1632&amp;$C1632,'Smelter Look-up'!$J:$J,0)))</f>
        <v>#N/A</v>
      </c>
      <c r="X1632" s="219">
        <f t="shared" ca="1" si="232"/>
        <v>0</v>
      </c>
      <c r="AB1632" s="220" t="str">
        <f t="shared" si="233"/>
        <v/>
      </c>
    </row>
    <row r="1633" spans="1:28" s="219" customFormat="1" ht="20.25">
      <c r="A1633" s="174"/>
      <c r="B1633" s="175" t="str">
        <f>IF(LEN(A1633)=0,"",INDEX('Smelter Look-up'!$A:$A,MATCH($A1633,'Smelter Look-up'!$E:$E,0)))</f>
        <v/>
      </c>
      <c r="C1633" s="179" t="str">
        <f>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31"/>
        <v/>
      </c>
      <c r="T1633" s="174" t="str">
        <f ca="1">IF(B1633="","",IF(ISERROR(MATCH($J1633,SorP!$B$1:$B$6279,0)),"",INDIRECT("'SorP'!$A$"&amp;MATCH($S1633&amp;$J1633,SorP!C:C,0))))</f>
        <v/>
      </c>
      <c r="U1633" s="194"/>
      <c r="V1633" s="218" t="e">
        <f>IF(C1633="",NA(),IF(OR(C1633="Smelter not listed",C1633="Smelter not yet identified"),MATCH($B1633&amp;$D1633,'Smelter Look-up'!$J:$J,0),MATCH($B1633&amp;$C1633,'Smelter Look-up'!$J:$J,0)))</f>
        <v>#N/A</v>
      </c>
      <c r="X1633" s="219">
        <f t="shared" ca="1" si="232"/>
        <v>0</v>
      </c>
      <c r="AB1633" s="220" t="str">
        <f t="shared" si="233"/>
        <v/>
      </c>
    </row>
    <row r="1634" spans="1:28" s="219" customFormat="1" ht="20.25">
      <c r="A1634" s="174"/>
      <c r="B1634" s="175" t="str">
        <f>IF(LEN(A1634)=0,"",INDEX('Smelter Look-up'!$A:$A,MATCH($A1634,'Smelter Look-up'!$E:$E,0)))</f>
        <v/>
      </c>
      <c r="C1634" s="179" t="str">
        <f>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31"/>
        <v/>
      </c>
      <c r="T1634" s="174" t="str">
        <f ca="1">IF(B1634="","",IF(ISERROR(MATCH($J1634,SorP!$B$1:$B$6279,0)),"",INDIRECT("'SorP'!$A$"&amp;MATCH($S1634&amp;$J1634,SorP!C:C,0))))</f>
        <v/>
      </c>
      <c r="U1634" s="194"/>
      <c r="V1634" s="218" t="e">
        <f>IF(C1634="",NA(),IF(OR(C1634="Smelter not listed",C1634="Smelter not yet identified"),MATCH($B1634&amp;$D1634,'Smelter Look-up'!$J:$J,0),MATCH($B1634&amp;$C1634,'Smelter Look-up'!$J:$J,0)))</f>
        <v>#N/A</v>
      </c>
      <c r="X1634" s="219">
        <f t="shared" ca="1" si="232"/>
        <v>0</v>
      </c>
      <c r="AB1634" s="220" t="str">
        <f t="shared" si="233"/>
        <v/>
      </c>
    </row>
    <row r="1635" spans="1:28" s="219" customFormat="1" ht="20.25">
      <c r="A1635" s="174"/>
      <c r="B1635" s="175" t="str">
        <f>IF(LEN(A1635)=0,"",INDEX('Smelter Look-up'!$A:$A,MATCH($A1635,'Smelter Look-up'!$E:$E,0)))</f>
        <v/>
      </c>
      <c r="C1635" s="179" t="str">
        <f>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31"/>
        <v/>
      </c>
      <c r="T1635" s="174" t="str">
        <f ca="1">IF(B1635="","",IF(ISERROR(MATCH($J1635,SorP!$B$1:$B$6279,0)),"",INDIRECT("'SorP'!$A$"&amp;MATCH($S1635&amp;$J1635,SorP!C:C,0))))</f>
        <v/>
      </c>
      <c r="U1635" s="194"/>
      <c r="V1635" s="218" t="e">
        <f>IF(C1635="",NA(),IF(OR(C1635="Smelter not listed",C1635="Smelter not yet identified"),MATCH($B1635&amp;$D1635,'Smelter Look-up'!$J:$J,0),MATCH($B1635&amp;$C1635,'Smelter Look-up'!$J:$J,0)))</f>
        <v>#N/A</v>
      </c>
      <c r="X1635" s="219">
        <f t="shared" ca="1" si="232"/>
        <v>0</v>
      </c>
      <c r="AB1635" s="220" t="str">
        <f t="shared" si="233"/>
        <v/>
      </c>
    </row>
    <row r="1636" spans="1:28" s="219" customFormat="1" ht="20.25">
      <c r="A1636" s="174"/>
      <c r="B1636" s="175" t="str">
        <f>IF(LEN(A1636)=0,"",INDEX('Smelter Look-up'!$A:$A,MATCH($A1636,'Smelter Look-up'!$E:$E,0)))</f>
        <v/>
      </c>
      <c r="C1636" s="179" t="str">
        <f>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31"/>
        <v/>
      </c>
      <c r="T1636" s="174" t="str">
        <f ca="1">IF(B1636="","",IF(ISERROR(MATCH($J1636,SorP!$B$1:$B$6279,0)),"",INDIRECT("'SorP'!$A$"&amp;MATCH($S1636&amp;$J1636,SorP!C:C,0))))</f>
        <v/>
      </c>
      <c r="U1636" s="194"/>
      <c r="V1636" s="218" t="e">
        <f>IF(C1636="",NA(),IF(OR(C1636="Smelter not listed",C1636="Smelter not yet identified"),MATCH($B1636&amp;$D1636,'Smelter Look-up'!$J:$J,0),MATCH($B1636&amp;$C1636,'Smelter Look-up'!$J:$J,0)))</f>
        <v>#N/A</v>
      </c>
      <c r="X1636" s="219">
        <f t="shared" ca="1" si="232"/>
        <v>0</v>
      </c>
      <c r="AB1636" s="220" t="str">
        <f t="shared" si="233"/>
        <v/>
      </c>
    </row>
    <row r="1637" spans="1:28" s="219" customFormat="1" ht="20.25">
      <c r="A1637" s="174"/>
      <c r="B1637" s="175" t="str">
        <f>IF(LEN(A1637)=0,"",INDEX('Smelter Look-up'!$A:$A,MATCH($A1637,'Smelter Look-up'!$E:$E,0)))</f>
        <v/>
      </c>
      <c r="C1637" s="179" t="str">
        <f>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31"/>
        <v/>
      </c>
      <c r="T1637" s="174" t="str">
        <f ca="1">IF(B1637="","",IF(ISERROR(MATCH($J1637,SorP!$B$1:$B$6279,0)),"",INDIRECT("'SorP'!$A$"&amp;MATCH($S1637&amp;$J1637,SorP!C:C,0))))</f>
        <v/>
      </c>
      <c r="U1637" s="194"/>
      <c r="V1637" s="218" t="e">
        <f>IF(C1637="",NA(),IF(OR(C1637="Smelter not listed",C1637="Smelter not yet identified"),MATCH($B1637&amp;$D1637,'Smelter Look-up'!$J:$J,0),MATCH($B1637&amp;$C1637,'Smelter Look-up'!$J:$J,0)))</f>
        <v>#N/A</v>
      </c>
      <c r="X1637" s="219">
        <f t="shared" ca="1" si="232"/>
        <v>0</v>
      </c>
      <c r="AB1637" s="220" t="str">
        <f t="shared" si="233"/>
        <v/>
      </c>
    </row>
    <row r="1638" spans="1:28" s="219" customFormat="1" ht="20.25">
      <c r="A1638" s="174"/>
      <c r="B1638" s="175" t="str">
        <f>IF(LEN(A1638)=0,"",INDEX('Smelter Look-up'!$A:$A,MATCH($A1638,'Smelter Look-up'!$E:$E,0)))</f>
        <v/>
      </c>
      <c r="C1638" s="179" t="str">
        <f>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31"/>
        <v/>
      </c>
      <c r="T1638" s="174" t="str">
        <f ca="1">IF(B1638="","",IF(ISERROR(MATCH($J1638,SorP!$B$1:$B$6279,0)),"",INDIRECT("'SorP'!$A$"&amp;MATCH($S1638&amp;$J1638,SorP!C:C,0))))</f>
        <v/>
      </c>
      <c r="U1638" s="194"/>
      <c r="V1638" s="218" t="e">
        <f>IF(C1638="",NA(),IF(OR(C1638="Smelter not listed",C1638="Smelter not yet identified"),MATCH($B1638&amp;$D1638,'Smelter Look-up'!$J:$J,0),MATCH($B1638&amp;$C1638,'Smelter Look-up'!$J:$J,0)))</f>
        <v>#N/A</v>
      </c>
      <c r="X1638" s="219">
        <f t="shared" ca="1" si="232"/>
        <v>0</v>
      </c>
      <c r="AB1638" s="220" t="str">
        <f t="shared" si="233"/>
        <v/>
      </c>
    </row>
    <row r="1639" spans="1:28" s="219" customFormat="1" ht="20.25">
      <c r="A1639" s="174"/>
      <c r="B1639" s="175" t="str">
        <f>IF(LEN(A1639)=0,"",INDEX('Smelter Look-up'!$A:$A,MATCH($A1639,'Smelter Look-up'!$E:$E,0)))</f>
        <v/>
      </c>
      <c r="C1639" s="179" t="str">
        <f>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31"/>
        <v/>
      </c>
      <c r="T1639" s="174" t="str">
        <f ca="1">IF(B1639="","",IF(ISERROR(MATCH($J1639,SorP!$B$1:$B$6279,0)),"",INDIRECT("'SorP'!$A$"&amp;MATCH($S1639&amp;$J1639,SorP!C:C,0))))</f>
        <v/>
      </c>
      <c r="U1639" s="194"/>
      <c r="V1639" s="218" t="e">
        <f>IF(C1639="",NA(),IF(OR(C1639="Smelter not listed",C1639="Smelter not yet identified"),MATCH($B1639&amp;$D1639,'Smelter Look-up'!$J:$J,0),MATCH($B1639&amp;$C1639,'Smelter Look-up'!$J:$J,0)))</f>
        <v>#N/A</v>
      </c>
      <c r="X1639" s="219">
        <f t="shared" ca="1" si="232"/>
        <v>0</v>
      </c>
      <c r="AB1639" s="220" t="str">
        <f t="shared" si="233"/>
        <v/>
      </c>
    </row>
    <row r="1640" spans="1:28" s="219" customFormat="1" ht="20.25">
      <c r="A1640" s="174"/>
      <c r="B1640" s="175" t="str">
        <f>IF(LEN(A1640)=0,"",INDEX('Smelter Look-up'!$A:$A,MATCH($A1640,'Smelter Look-up'!$E:$E,0)))</f>
        <v/>
      </c>
      <c r="C1640" s="179" t="str">
        <f>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31"/>
        <v/>
      </c>
      <c r="T1640" s="174" t="str">
        <f ca="1">IF(B1640="","",IF(ISERROR(MATCH($J1640,SorP!$B$1:$B$6279,0)),"",INDIRECT("'SorP'!$A$"&amp;MATCH($S1640&amp;$J1640,SorP!C:C,0))))</f>
        <v/>
      </c>
      <c r="U1640" s="194"/>
      <c r="V1640" s="218" t="e">
        <f>IF(C1640="",NA(),IF(OR(C1640="Smelter not listed",C1640="Smelter not yet identified"),MATCH($B1640&amp;$D1640,'Smelter Look-up'!$J:$J,0),MATCH($B1640&amp;$C1640,'Smelter Look-up'!$J:$J,0)))</f>
        <v>#N/A</v>
      </c>
      <c r="X1640" s="219">
        <f t="shared" ca="1" si="232"/>
        <v>0</v>
      </c>
      <c r="AB1640" s="220" t="str">
        <f t="shared" si="233"/>
        <v/>
      </c>
    </row>
    <row r="1641" spans="1:28" s="219" customFormat="1" ht="20.25">
      <c r="A1641" s="174"/>
      <c r="B1641" s="175" t="str">
        <f>IF(LEN(A1641)=0,"",INDEX('Smelter Look-up'!$A:$A,MATCH($A1641,'Smelter Look-up'!$E:$E,0)))</f>
        <v/>
      </c>
      <c r="C1641" s="179" t="str">
        <f>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31"/>
        <v/>
      </c>
      <c r="T1641" s="174" t="str">
        <f ca="1">IF(B1641="","",IF(ISERROR(MATCH($J1641,SorP!$B$1:$B$6279,0)),"",INDIRECT("'SorP'!$A$"&amp;MATCH($S1641&amp;$J1641,SorP!C:C,0))))</f>
        <v/>
      </c>
      <c r="U1641" s="194"/>
      <c r="V1641" s="218" t="e">
        <f>IF(C1641="",NA(),IF(OR(C1641="Smelter not listed",C1641="Smelter not yet identified"),MATCH($B1641&amp;$D1641,'Smelter Look-up'!$J:$J,0),MATCH($B1641&amp;$C1641,'Smelter Look-up'!$J:$J,0)))</f>
        <v>#N/A</v>
      </c>
      <c r="X1641" s="219">
        <f t="shared" ca="1" si="232"/>
        <v>0</v>
      </c>
      <c r="AB1641" s="220" t="str">
        <f t="shared" si="233"/>
        <v/>
      </c>
    </row>
    <row r="1642" spans="1:28" s="219" customFormat="1" ht="20.25">
      <c r="A1642" s="174"/>
      <c r="B1642" s="175" t="str">
        <f>IF(LEN(A1642)=0,"",INDEX('Smelter Look-up'!$A:$A,MATCH($A1642,'Smelter Look-up'!$E:$E,0)))</f>
        <v/>
      </c>
      <c r="C1642" s="179" t="str">
        <f>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31"/>
        <v/>
      </c>
      <c r="T1642" s="174" t="str">
        <f ca="1">IF(B1642="","",IF(ISERROR(MATCH($J1642,SorP!$B$1:$B$6279,0)),"",INDIRECT("'SorP'!$A$"&amp;MATCH($S1642&amp;$J1642,SorP!C:C,0))))</f>
        <v/>
      </c>
      <c r="U1642" s="194"/>
      <c r="V1642" s="218" t="e">
        <f>IF(C1642="",NA(),IF(OR(C1642="Smelter not listed",C1642="Smelter not yet identified"),MATCH($B1642&amp;$D1642,'Smelter Look-up'!$J:$J,0),MATCH($B1642&amp;$C1642,'Smelter Look-up'!$J:$J,0)))</f>
        <v>#N/A</v>
      </c>
      <c r="X1642" s="219">
        <f t="shared" ca="1" si="232"/>
        <v>0</v>
      </c>
      <c r="AB1642" s="220" t="str">
        <f t="shared" si="233"/>
        <v/>
      </c>
    </row>
    <row r="1643" spans="1:28" s="219" customFormat="1" ht="20.25">
      <c r="A1643" s="174"/>
      <c r="B1643" s="175" t="str">
        <f>IF(LEN(A1643)=0,"",INDEX('Smelter Look-up'!$A:$A,MATCH($A1643,'Smelter Look-up'!$E:$E,0)))</f>
        <v/>
      </c>
      <c r="C1643" s="179" t="str">
        <f>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31"/>
        <v/>
      </c>
      <c r="T1643" s="174" t="str">
        <f ca="1">IF(B1643="","",IF(ISERROR(MATCH($J1643,SorP!$B$1:$B$6279,0)),"",INDIRECT("'SorP'!$A$"&amp;MATCH($S1643&amp;$J1643,SorP!C:C,0))))</f>
        <v/>
      </c>
      <c r="U1643" s="194"/>
      <c r="V1643" s="218" t="e">
        <f>IF(C1643="",NA(),IF(OR(C1643="Smelter not listed",C1643="Smelter not yet identified"),MATCH($B1643&amp;$D1643,'Smelter Look-up'!$J:$J,0),MATCH($B1643&amp;$C1643,'Smelter Look-up'!$J:$J,0)))</f>
        <v>#N/A</v>
      </c>
      <c r="X1643" s="219">
        <f t="shared" ca="1" si="232"/>
        <v>0</v>
      </c>
      <c r="AB1643" s="220" t="str">
        <f t="shared" si="233"/>
        <v/>
      </c>
    </row>
    <row r="1644" spans="1:28" s="219" customFormat="1" ht="20.25">
      <c r="A1644" s="174"/>
      <c r="B1644" s="175" t="str">
        <f>IF(LEN(A1644)=0,"",INDEX('Smelter Look-up'!$A:$A,MATCH($A1644,'Smelter Look-up'!$E:$E,0)))</f>
        <v/>
      </c>
      <c r="C1644" s="179" t="str">
        <f>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31"/>
        <v/>
      </c>
      <c r="T1644" s="174" t="str">
        <f ca="1">IF(B1644="","",IF(ISERROR(MATCH($J1644,SorP!$B$1:$B$6279,0)),"",INDIRECT("'SorP'!$A$"&amp;MATCH($S1644&amp;$J1644,SorP!C:C,0))))</f>
        <v/>
      </c>
      <c r="U1644" s="194"/>
      <c r="V1644" s="218" t="e">
        <f>IF(C1644="",NA(),IF(OR(C1644="Smelter not listed",C1644="Smelter not yet identified"),MATCH($B1644&amp;$D1644,'Smelter Look-up'!$J:$J,0),MATCH($B1644&amp;$C1644,'Smelter Look-up'!$J:$J,0)))</f>
        <v>#N/A</v>
      </c>
      <c r="X1644" s="219">
        <f t="shared" ca="1" si="232"/>
        <v>0</v>
      </c>
      <c r="AB1644" s="220" t="str">
        <f t="shared" si="233"/>
        <v/>
      </c>
    </row>
    <row r="1645" spans="1:28" s="219" customFormat="1" ht="20.25">
      <c r="A1645" s="174"/>
      <c r="B1645" s="175" t="str">
        <f>IF(LEN(A1645)=0,"",INDEX('Smelter Look-up'!$A:$A,MATCH($A1645,'Smelter Look-up'!$E:$E,0)))</f>
        <v/>
      </c>
      <c r="C1645" s="179" t="str">
        <f>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31"/>
        <v/>
      </c>
      <c r="T1645" s="174" t="str">
        <f ca="1">IF(B1645="","",IF(ISERROR(MATCH($J1645,SorP!$B$1:$B$6279,0)),"",INDIRECT("'SorP'!$A$"&amp;MATCH($S1645&amp;$J1645,SorP!C:C,0))))</f>
        <v/>
      </c>
      <c r="U1645" s="194"/>
      <c r="V1645" s="218" t="e">
        <f>IF(C1645="",NA(),IF(OR(C1645="Smelter not listed",C1645="Smelter not yet identified"),MATCH($B1645&amp;$D1645,'Smelter Look-up'!$J:$J,0),MATCH($B1645&amp;$C1645,'Smelter Look-up'!$J:$J,0)))</f>
        <v>#N/A</v>
      </c>
      <c r="X1645" s="219">
        <f t="shared" ca="1" si="232"/>
        <v>0</v>
      </c>
      <c r="AB1645" s="220" t="str">
        <f t="shared" si="233"/>
        <v/>
      </c>
    </row>
    <row r="1646" spans="1:28" s="219" customFormat="1" ht="20.25">
      <c r="A1646" s="174"/>
      <c r="B1646" s="175" t="str">
        <f>IF(LEN(A1646)=0,"",INDEX('Smelter Look-up'!$A:$A,MATCH($A1646,'Smelter Look-up'!$E:$E,0)))</f>
        <v/>
      </c>
      <c r="C1646" s="179" t="str">
        <f>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31"/>
        <v/>
      </c>
      <c r="T1646" s="174" t="str">
        <f ca="1">IF(B1646="","",IF(ISERROR(MATCH($J1646,SorP!$B$1:$B$6279,0)),"",INDIRECT("'SorP'!$A$"&amp;MATCH($S1646&amp;$J1646,SorP!C:C,0))))</f>
        <v/>
      </c>
      <c r="U1646" s="194"/>
      <c r="V1646" s="218" t="e">
        <f>IF(C1646="",NA(),IF(OR(C1646="Smelter not listed",C1646="Smelter not yet identified"),MATCH($B1646&amp;$D1646,'Smelter Look-up'!$J:$J,0),MATCH($B1646&amp;$C1646,'Smelter Look-up'!$J:$J,0)))</f>
        <v>#N/A</v>
      </c>
      <c r="X1646" s="219">
        <f t="shared" ca="1" si="232"/>
        <v>0</v>
      </c>
      <c r="AB1646" s="220" t="str">
        <f t="shared" si="233"/>
        <v/>
      </c>
    </row>
    <row r="1647" spans="1:28" s="219" customFormat="1" ht="20.25">
      <c r="A1647" s="174"/>
      <c r="B1647" s="175" t="str">
        <f>IF(LEN(A1647)=0,"",INDEX('Smelter Look-up'!$A:$A,MATCH($A1647,'Smelter Look-up'!$E:$E,0)))</f>
        <v/>
      </c>
      <c r="C1647" s="179" t="str">
        <f>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31"/>
        <v/>
      </c>
      <c r="T1647" s="174" t="str">
        <f ca="1">IF(B1647="","",IF(ISERROR(MATCH($J1647,SorP!$B$1:$B$6279,0)),"",INDIRECT("'SorP'!$A$"&amp;MATCH($S1647&amp;$J1647,SorP!C:C,0))))</f>
        <v/>
      </c>
      <c r="U1647" s="194"/>
      <c r="V1647" s="218" t="e">
        <f>IF(C1647="",NA(),IF(OR(C1647="Smelter not listed",C1647="Smelter not yet identified"),MATCH($B1647&amp;$D1647,'Smelter Look-up'!$J:$J,0),MATCH($B1647&amp;$C1647,'Smelter Look-up'!$J:$J,0)))</f>
        <v>#N/A</v>
      </c>
      <c r="X1647" s="219">
        <f t="shared" ca="1" si="232"/>
        <v>0</v>
      </c>
      <c r="AB1647" s="220" t="str">
        <f t="shared" si="233"/>
        <v/>
      </c>
    </row>
    <row r="1648" spans="1:28" s="219" customFormat="1" ht="20.25">
      <c r="A1648" s="174"/>
      <c r="B1648" s="175" t="str">
        <f>IF(LEN(A1648)=0,"",INDEX('Smelter Look-up'!$A:$A,MATCH($A1648,'Smelter Look-up'!$E:$E,0)))</f>
        <v/>
      </c>
      <c r="C1648" s="179" t="str">
        <f>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31"/>
        <v/>
      </c>
      <c r="T1648" s="174" t="str">
        <f ca="1">IF(B1648="","",IF(ISERROR(MATCH($J1648,SorP!$B$1:$B$6279,0)),"",INDIRECT("'SorP'!$A$"&amp;MATCH($S1648&amp;$J1648,SorP!C:C,0))))</f>
        <v/>
      </c>
      <c r="U1648" s="194"/>
      <c r="V1648" s="218" t="e">
        <f>IF(C1648="",NA(),IF(OR(C1648="Smelter not listed",C1648="Smelter not yet identified"),MATCH($B1648&amp;$D1648,'Smelter Look-up'!$J:$J,0),MATCH($B1648&amp;$C1648,'Smelter Look-up'!$J:$J,0)))</f>
        <v>#N/A</v>
      </c>
      <c r="X1648" s="219">
        <f t="shared" ca="1" si="232"/>
        <v>0</v>
      </c>
      <c r="AB1648" s="220" t="str">
        <f t="shared" si="233"/>
        <v/>
      </c>
    </row>
    <row r="1649" spans="1:28" s="219" customFormat="1" ht="20.25">
      <c r="A1649" s="174"/>
      <c r="B1649" s="175" t="str">
        <f>IF(LEN(A1649)=0,"",INDEX('Smelter Look-up'!$A:$A,MATCH($A1649,'Smelter Look-up'!$E:$E,0)))</f>
        <v/>
      </c>
      <c r="C1649" s="179" t="str">
        <f>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31"/>
        <v/>
      </c>
      <c r="T1649" s="174" t="str">
        <f ca="1">IF(B1649="","",IF(ISERROR(MATCH($J1649,SorP!$B$1:$B$6279,0)),"",INDIRECT("'SorP'!$A$"&amp;MATCH($S1649&amp;$J1649,SorP!C:C,0))))</f>
        <v/>
      </c>
      <c r="U1649" s="194"/>
      <c r="V1649" s="218" t="e">
        <f>IF(C1649="",NA(),IF(OR(C1649="Smelter not listed",C1649="Smelter not yet identified"),MATCH($B1649&amp;$D1649,'Smelter Look-up'!$J:$J,0),MATCH($B1649&amp;$C1649,'Smelter Look-up'!$J:$J,0)))</f>
        <v>#N/A</v>
      </c>
      <c r="X1649" s="219">
        <f t="shared" ca="1" si="232"/>
        <v>0</v>
      </c>
      <c r="AB1649" s="220" t="str">
        <f t="shared" si="233"/>
        <v/>
      </c>
    </row>
    <row r="1650" spans="1:28" s="219" customFormat="1" ht="20.25">
      <c r="A1650" s="174"/>
      <c r="B1650" s="175" t="str">
        <f>IF(LEN(A1650)=0,"",INDEX('Smelter Look-up'!$A:$A,MATCH($A1650,'Smelter Look-up'!$E:$E,0)))</f>
        <v/>
      </c>
      <c r="C1650" s="179" t="str">
        <f>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31"/>
        <v/>
      </c>
      <c r="T1650" s="174" t="str">
        <f ca="1">IF(B1650="","",IF(ISERROR(MATCH($J1650,SorP!$B$1:$B$6279,0)),"",INDIRECT("'SorP'!$A$"&amp;MATCH($S1650&amp;$J1650,SorP!C:C,0))))</f>
        <v/>
      </c>
      <c r="U1650" s="194"/>
      <c r="V1650" s="218" t="e">
        <f>IF(C1650="",NA(),IF(OR(C1650="Smelter not listed",C1650="Smelter not yet identified"),MATCH($B1650&amp;$D1650,'Smelter Look-up'!$J:$J,0),MATCH($B1650&amp;$C1650,'Smelter Look-up'!$J:$J,0)))</f>
        <v>#N/A</v>
      </c>
      <c r="X1650" s="219">
        <f t="shared" ca="1" si="232"/>
        <v>0</v>
      </c>
      <c r="AB1650" s="220" t="str">
        <f t="shared" si="233"/>
        <v/>
      </c>
    </row>
    <row r="1651" spans="1:28" s="219" customFormat="1" ht="20.25">
      <c r="A1651" s="174"/>
      <c r="B1651" s="175" t="str">
        <f>IF(LEN(A1651)=0,"",INDEX('Smelter Look-up'!$A:$A,MATCH($A1651,'Smelter Look-up'!$E:$E,0)))</f>
        <v/>
      </c>
      <c r="C1651" s="179" t="str">
        <f>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231"/>
        <v/>
      </c>
      <c r="T1651" s="174" t="str">
        <f ca="1">IF(B1651="","",IF(ISERROR(MATCH($J1651,SorP!$B$1:$B$6279,0)),"",INDIRECT("'SorP'!$A$"&amp;MATCH($S1651&amp;$J1651,SorP!C:C,0))))</f>
        <v/>
      </c>
      <c r="U1651" s="194"/>
      <c r="V1651" s="218" t="e">
        <f>IF(C1651="",NA(),IF(OR(C1651="Smelter not listed",C1651="Smelter not yet identified"),MATCH($B1651&amp;$D1651,'Smelter Look-up'!$J:$J,0),MATCH($B1651&amp;$C1651,'Smelter Look-up'!$J:$J,0)))</f>
        <v>#N/A</v>
      </c>
      <c r="X1651" s="219">
        <f t="shared" ca="1" si="232"/>
        <v>0</v>
      </c>
      <c r="AB1651" s="220" t="str">
        <f t="shared" si="233"/>
        <v/>
      </c>
    </row>
    <row r="1652" spans="1:28" s="219" customFormat="1" ht="20.25">
      <c r="A1652" s="174"/>
      <c r="B1652" s="175" t="str">
        <f>IF(LEN(A1652)=0,"",INDEX('Smelter Look-up'!$A:$A,MATCH($A1652,'Smelter Look-up'!$E:$E,0)))</f>
        <v/>
      </c>
      <c r="C1652" s="179" t="str">
        <f>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31"/>
        <v/>
      </c>
      <c r="T1652" s="174" t="str">
        <f ca="1">IF(B1652="","",IF(ISERROR(MATCH($J1652,SorP!$B$1:$B$6279,0)),"",INDIRECT("'SorP'!$A$"&amp;MATCH($S1652&amp;$J1652,SorP!C:C,0))))</f>
        <v/>
      </c>
      <c r="U1652" s="194"/>
      <c r="V1652" s="218" t="e">
        <f>IF(C1652="",NA(),IF(OR(C1652="Smelter not listed",C1652="Smelter not yet identified"),MATCH($B1652&amp;$D1652,'Smelter Look-up'!$J:$J,0),MATCH($B1652&amp;$C1652,'Smelter Look-up'!$J:$J,0)))</f>
        <v>#N/A</v>
      </c>
      <c r="X1652" s="219">
        <f t="shared" ca="1" si="232"/>
        <v>0</v>
      </c>
      <c r="AB1652" s="220" t="str">
        <f t="shared" si="233"/>
        <v/>
      </c>
    </row>
    <row r="1653" spans="1:28" s="219" customFormat="1" ht="20.25">
      <c r="A1653" s="174"/>
      <c r="B1653" s="175" t="str">
        <f>IF(LEN(A1653)=0,"",INDEX('Smelter Look-up'!$A:$A,MATCH($A1653,'Smelter Look-up'!$E:$E,0)))</f>
        <v/>
      </c>
      <c r="C1653" s="179" t="str">
        <f>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31"/>
        <v/>
      </c>
      <c r="T1653" s="174" t="str">
        <f ca="1">IF(B1653="","",IF(ISERROR(MATCH($J1653,SorP!$B$1:$B$6279,0)),"",INDIRECT("'SorP'!$A$"&amp;MATCH($S1653&amp;$J1653,SorP!C:C,0))))</f>
        <v/>
      </c>
      <c r="U1653" s="194"/>
      <c r="V1653" s="218" t="e">
        <f>IF(C1653="",NA(),IF(OR(C1653="Smelter not listed",C1653="Smelter not yet identified"),MATCH($B1653&amp;$D1653,'Smelter Look-up'!$J:$J,0),MATCH($B1653&amp;$C1653,'Smelter Look-up'!$J:$J,0)))</f>
        <v>#N/A</v>
      </c>
      <c r="X1653" s="219">
        <f t="shared" ca="1" si="232"/>
        <v>0</v>
      </c>
      <c r="AB1653" s="220" t="str">
        <f t="shared" si="233"/>
        <v/>
      </c>
    </row>
    <row r="1654" spans="1:28" s="219" customFormat="1" ht="20.25">
      <c r="A1654" s="174"/>
      <c r="B1654" s="175" t="str">
        <f>IF(LEN(A1654)=0,"",INDEX('Smelter Look-up'!$A:$A,MATCH($A1654,'Smelter Look-up'!$E:$E,0)))</f>
        <v/>
      </c>
      <c r="C1654" s="179" t="str">
        <f>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31"/>
        <v/>
      </c>
      <c r="T1654" s="174" t="str">
        <f ca="1">IF(B1654="","",IF(ISERROR(MATCH($J1654,SorP!$B$1:$B$6279,0)),"",INDIRECT("'SorP'!$A$"&amp;MATCH($S1654&amp;$J1654,SorP!C:C,0))))</f>
        <v/>
      </c>
      <c r="U1654" s="194"/>
      <c r="V1654" s="218" t="e">
        <f>IF(C1654="",NA(),IF(OR(C1654="Smelter not listed",C1654="Smelter not yet identified"),MATCH($B1654&amp;$D1654,'Smelter Look-up'!$J:$J,0),MATCH($B1654&amp;$C1654,'Smelter Look-up'!$J:$J,0)))</f>
        <v>#N/A</v>
      </c>
      <c r="X1654" s="219">
        <f t="shared" ca="1" si="232"/>
        <v>0</v>
      </c>
      <c r="AB1654" s="220" t="str">
        <f t="shared" si="233"/>
        <v/>
      </c>
    </row>
    <row r="1655" spans="1:28" s="219" customFormat="1" ht="20.25">
      <c r="A1655" s="174"/>
      <c r="B1655" s="175" t="str">
        <f>IF(LEN(A1655)=0,"",INDEX('Smelter Look-up'!$A:$A,MATCH($A1655,'Smelter Look-up'!$E:$E,0)))</f>
        <v/>
      </c>
      <c r="C1655" s="179" t="str">
        <f>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31"/>
        <v/>
      </c>
      <c r="T1655" s="174" t="str">
        <f ca="1">IF(B1655="","",IF(ISERROR(MATCH($J1655,SorP!$B$1:$B$6279,0)),"",INDIRECT("'SorP'!$A$"&amp;MATCH($S1655&amp;$J1655,SorP!C:C,0))))</f>
        <v/>
      </c>
      <c r="U1655" s="194"/>
      <c r="V1655" s="218" t="e">
        <f>IF(C1655="",NA(),IF(OR(C1655="Smelter not listed",C1655="Smelter not yet identified"),MATCH($B1655&amp;$D1655,'Smelter Look-up'!$J:$J,0),MATCH($B1655&amp;$C1655,'Smelter Look-up'!$J:$J,0)))</f>
        <v>#N/A</v>
      </c>
      <c r="X1655" s="219">
        <f t="shared" ca="1" si="232"/>
        <v>0</v>
      </c>
      <c r="AB1655" s="220" t="str">
        <f t="shared" si="233"/>
        <v/>
      </c>
    </row>
    <row r="1656" spans="1:28" s="219" customFormat="1" ht="20.25">
      <c r="A1656" s="174"/>
      <c r="B1656" s="175" t="str">
        <f>IF(LEN(A1656)=0,"",INDEX('Smelter Look-up'!$A:$A,MATCH($A1656,'Smelter Look-up'!$E:$E,0)))</f>
        <v/>
      </c>
      <c r="C1656" s="179" t="str">
        <f>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31"/>
        <v/>
      </c>
      <c r="T1656" s="174" t="str">
        <f ca="1">IF(B1656="","",IF(ISERROR(MATCH($J1656,SorP!$B$1:$B$6279,0)),"",INDIRECT("'SorP'!$A$"&amp;MATCH($S1656&amp;$J1656,SorP!C:C,0))))</f>
        <v/>
      </c>
      <c r="U1656" s="194"/>
      <c r="V1656" s="218" t="e">
        <f>IF(C1656="",NA(),IF(OR(C1656="Smelter not listed",C1656="Smelter not yet identified"),MATCH($B1656&amp;$D1656,'Smelter Look-up'!$J:$J,0),MATCH($B1656&amp;$C1656,'Smelter Look-up'!$J:$J,0)))</f>
        <v>#N/A</v>
      </c>
      <c r="X1656" s="219">
        <f t="shared" ca="1" si="232"/>
        <v>0</v>
      </c>
      <c r="AB1656" s="220" t="str">
        <f t="shared" si="233"/>
        <v/>
      </c>
    </row>
    <row r="1657" spans="1:28" s="219" customFormat="1" ht="20.25">
      <c r="A1657" s="174"/>
      <c r="B1657" s="175" t="str">
        <f>IF(LEN(A1657)=0,"",INDEX('Smelter Look-up'!$A:$A,MATCH($A1657,'Smelter Look-up'!$E:$E,0)))</f>
        <v/>
      </c>
      <c r="C1657" s="179" t="str">
        <f>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231"/>
        <v/>
      </c>
      <c r="T1657" s="174" t="str">
        <f ca="1">IF(B1657="","",IF(ISERROR(MATCH($J1657,SorP!$B$1:$B$6279,0)),"",INDIRECT("'SorP'!$A$"&amp;MATCH($S1657&amp;$J1657,SorP!C:C,0))))</f>
        <v/>
      </c>
      <c r="U1657" s="194"/>
      <c r="V1657" s="218" t="e">
        <f>IF(C1657="",NA(),IF(OR(C1657="Smelter not listed",C1657="Smelter not yet identified"),MATCH($B1657&amp;$D1657,'Smelter Look-up'!$J:$J,0),MATCH($B1657&amp;$C1657,'Smelter Look-up'!$J:$J,0)))</f>
        <v>#N/A</v>
      </c>
      <c r="X1657" s="219">
        <f t="shared" ca="1" si="232"/>
        <v>0</v>
      </c>
      <c r="AB1657" s="220" t="str">
        <f t="shared" si="233"/>
        <v/>
      </c>
    </row>
    <row r="1658" spans="1:28" s="219" customFormat="1" ht="20.25">
      <c r="A1658" s="174"/>
      <c r="B1658" s="175" t="str">
        <f>IF(LEN(A1658)=0,"",INDEX('Smelter Look-up'!$A:$A,MATCH($A1658,'Smelter Look-up'!$E:$E,0)))</f>
        <v/>
      </c>
      <c r="C1658" s="179" t="str">
        <f>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ca="1" si="231"/>
        <v/>
      </c>
      <c r="T1658" s="174" t="str">
        <f ca="1">IF(B1658="","",IF(ISERROR(MATCH($J1658,SorP!$B$1:$B$6279,0)),"",INDIRECT("'SorP'!$A$"&amp;MATCH($S1658&amp;$J1658,SorP!C:C,0))))</f>
        <v/>
      </c>
      <c r="U1658" s="194"/>
      <c r="V1658" s="218" t="e">
        <f>IF(C1658="",NA(),IF(OR(C1658="Smelter not listed",C1658="Smelter not yet identified"),MATCH($B1658&amp;$D1658,'Smelter Look-up'!$J:$J,0),MATCH($B1658&amp;$C1658,'Smelter Look-up'!$J:$J,0)))</f>
        <v>#N/A</v>
      </c>
      <c r="X1658" s="219">
        <f t="shared" ca="1" si="232"/>
        <v>0</v>
      </c>
      <c r="AB1658" s="220" t="str">
        <f t="shared" si="233"/>
        <v/>
      </c>
    </row>
    <row r="1659" spans="1:28" s="219" customFormat="1" ht="20.25">
      <c r="A1659" s="174"/>
      <c r="B1659" s="175" t="str">
        <f>IF(LEN(A1659)=0,"",INDEX('Smelter Look-up'!$A:$A,MATCH($A1659,'Smelter Look-up'!$E:$E,0)))</f>
        <v/>
      </c>
      <c r="C1659" s="179" t="str">
        <f>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ref="S1659" ca="1" si="234">IF(B1659="","",IF(ISERROR(MATCH($E1659,CL,0)),"Unknown",INDIRECT("'C'!$A$"&amp;MATCH($E1659,CL,0)+1)))</f>
        <v/>
      </c>
      <c r="T1659" s="174" t="str">
        <f ca="1">IF(B1659="","",IF(ISERROR(MATCH($J1659,SorP!$B$1:$B$6279,0)),"",INDIRECT("'SorP'!$A$"&amp;MATCH($S1659&amp;$J1659,SorP!C:C,0))))</f>
        <v/>
      </c>
      <c r="U1659" s="194"/>
      <c r="V1659" s="218" t="e">
        <f>IF(C1659="",NA(),IF(OR(C1659="Smelter not listed",C1659="Smelter not yet identified"),MATCH($B1659&amp;$D1659,'Smelter Look-up'!$J:$J,0),MATCH($B1659&amp;$C1659,'Smelter Look-up'!$J:$J,0)))</f>
        <v>#N/A</v>
      </c>
      <c r="X1659" s="219">
        <f t="shared" ref="X1659" ca="1" si="235">IF(AND(C1659="Smelter not listed",OR(LEN(D1659)=0,LEN(E1659)=0)),1,0)</f>
        <v>0</v>
      </c>
      <c r="AB1659" s="220" t="str">
        <f t="shared" ref="AB1659" si="236">B1659&amp;C1659</f>
        <v/>
      </c>
    </row>
    <row r="1660" spans="1:28" s="219" customFormat="1" ht="20.25">
      <c r="A1660" s="174"/>
      <c r="B1660" s="175" t="str">
        <f>IF(LEN(A1660)=0,"",INDEX('Smelter Look-up'!$A:$A,MATCH($A1660,'Smelter Look-up'!$E:$E,0)))</f>
        <v/>
      </c>
      <c r="C1660" s="179" t="str">
        <f>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ref="S1660:S1691" ca="1" si="237">IF(B1660="","",IF(ISERROR(MATCH($E1660,CL,0)),"Unknown",INDIRECT("'C'!$A$"&amp;MATCH($E1660,CL,0)+1)))</f>
        <v/>
      </c>
      <c r="T1660" s="174" t="str">
        <f ca="1">IF(B1660="","",IF(ISERROR(MATCH($J1660,SorP!$B$1:$B$6279,0)),"",INDIRECT("'SorP'!$A$"&amp;MATCH($S1660&amp;$J1660,SorP!C:C,0))))</f>
        <v/>
      </c>
      <c r="U1660" s="194"/>
      <c r="V1660" s="218" t="e">
        <f>IF(C1660="",NA(),IF(OR(C1660="Smelter not listed",C1660="Smelter not yet identified"),MATCH($B1660&amp;$D1660,'Smelter Look-up'!$J:$J,0),MATCH($B1660&amp;$C1660,'Smelter Look-up'!$J:$J,0)))</f>
        <v>#N/A</v>
      </c>
      <c r="X1660" s="219">
        <f t="shared" ref="X1660:X1691" ca="1" si="238">IF(AND(C1660="Smelter not listed",OR(LEN(D1660)=0,LEN(E1660)=0)),1,0)</f>
        <v>0</v>
      </c>
      <c r="AB1660" s="220" t="str">
        <f t="shared" ref="AB1660:AB1691" si="239">B1660&amp;C1660</f>
        <v/>
      </c>
    </row>
    <row r="1661" spans="1:28" s="219" customFormat="1" ht="20.25">
      <c r="A1661" s="174"/>
      <c r="B1661" s="175" t="str">
        <f>IF(LEN(A1661)=0,"",INDEX('Smelter Look-up'!$A:$A,MATCH($A1661,'Smelter Look-up'!$E:$E,0)))</f>
        <v/>
      </c>
      <c r="C1661" s="179" t="str">
        <f>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37"/>
        <v/>
      </c>
      <c r="T1661" s="174" t="str">
        <f ca="1">IF(B1661="","",IF(ISERROR(MATCH($J1661,SorP!$B$1:$B$6279,0)),"",INDIRECT("'SorP'!$A$"&amp;MATCH($S1661&amp;$J1661,SorP!C:C,0))))</f>
        <v/>
      </c>
      <c r="U1661" s="194"/>
      <c r="V1661" s="218" t="e">
        <f>IF(C1661="",NA(),IF(OR(C1661="Smelter not listed",C1661="Smelter not yet identified"),MATCH($B1661&amp;$D1661,'Smelter Look-up'!$J:$J,0),MATCH($B1661&amp;$C1661,'Smelter Look-up'!$J:$J,0)))</f>
        <v>#N/A</v>
      </c>
      <c r="X1661" s="219">
        <f t="shared" ca="1" si="238"/>
        <v>0</v>
      </c>
      <c r="AB1661" s="220" t="str">
        <f t="shared" si="239"/>
        <v/>
      </c>
    </row>
    <row r="1662" spans="1:28" s="219" customFormat="1" ht="20.25">
      <c r="A1662" s="174"/>
      <c r="B1662" s="175" t="str">
        <f>IF(LEN(A1662)=0,"",INDEX('Smelter Look-up'!$A:$A,MATCH($A1662,'Smelter Look-up'!$E:$E,0)))</f>
        <v/>
      </c>
      <c r="C1662" s="179" t="str">
        <f>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37"/>
        <v/>
      </c>
      <c r="T1662" s="174" t="str">
        <f ca="1">IF(B1662="","",IF(ISERROR(MATCH($J1662,SorP!$B$1:$B$6279,0)),"",INDIRECT("'SorP'!$A$"&amp;MATCH($S1662&amp;$J1662,SorP!C:C,0))))</f>
        <v/>
      </c>
      <c r="U1662" s="194"/>
      <c r="V1662" s="218" t="e">
        <f>IF(C1662="",NA(),IF(OR(C1662="Smelter not listed",C1662="Smelter not yet identified"),MATCH($B1662&amp;$D1662,'Smelter Look-up'!$J:$J,0),MATCH($B1662&amp;$C1662,'Smelter Look-up'!$J:$J,0)))</f>
        <v>#N/A</v>
      </c>
      <c r="X1662" s="219">
        <f t="shared" ca="1" si="238"/>
        <v>0</v>
      </c>
      <c r="AB1662" s="220" t="str">
        <f t="shared" si="239"/>
        <v/>
      </c>
    </row>
    <row r="1663" spans="1:28" s="219" customFormat="1" ht="20.25">
      <c r="A1663" s="174"/>
      <c r="B1663" s="175" t="str">
        <f>IF(LEN(A1663)=0,"",INDEX('Smelter Look-up'!$A:$A,MATCH($A1663,'Smelter Look-up'!$E:$E,0)))</f>
        <v/>
      </c>
      <c r="C1663" s="179" t="str">
        <f>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37"/>
        <v/>
      </c>
      <c r="T1663" s="174" t="str">
        <f ca="1">IF(B1663="","",IF(ISERROR(MATCH($J1663,SorP!$B$1:$B$6279,0)),"",INDIRECT("'SorP'!$A$"&amp;MATCH($S1663&amp;$J1663,SorP!C:C,0))))</f>
        <v/>
      </c>
      <c r="U1663" s="194"/>
      <c r="V1663" s="218" t="e">
        <f>IF(C1663="",NA(),IF(OR(C1663="Smelter not listed",C1663="Smelter not yet identified"),MATCH($B1663&amp;$D1663,'Smelter Look-up'!$J:$J,0),MATCH($B1663&amp;$C1663,'Smelter Look-up'!$J:$J,0)))</f>
        <v>#N/A</v>
      </c>
      <c r="X1663" s="219">
        <f t="shared" ca="1" si="238"/>
        <v>0</v>
      </c>
      <c r="AB1663" s="220" t="str">
        <f t="shared" si="239"/>
        <v/>
      </c>
    </row>
    <row r="1664" spans="1:28" s="219" customFormat="1" ht="20.25">
      <c r="A1664" s="174"/>
      <c r="B1664" s="175" t="str">
        <f>IF(LEN(A1664)=0,"",INDEX('Smelter Look-up'!$A:$A,MATCH($A1664,'Smelter Look-up'!$E:$E,0)))</f>
        <v/>
      </c>
      <c r="C1664" s="179" t="str">
        <f>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37"/>
        <v/>
      </c>
      <c r="T1664" s="174" t="str">
        <f ca="1">IF(B1664="","",IF(ISERROR(MATCH($J1664,SorP!$B$1:$B$6279,0)),"",INDIRECT("'SorP'!$A$"&amp;MATCH($S1664&amp;$J1664,SorP!C:C,0))))</f>
        <v/>
      </c>
      <c r="U1664" s="194"/>
      <c r="V1664" s="218" t="e">
        <f>IF(C1664="",NA(),IF(OR(C1664="Smelter not listed",C1664="Smelter not yet identified"),MATCH($B1664&amp;$D1664,'Smelter Look-up'!$J:$J,0),MATCH($B1664&amp;$C1664,'Smelter Look-up'!$J:$J,0)))</f>
        <v>#N/A</v>
      </c>
      <c r="X1664" s="219">
        <f t="shared" ca="1" si="238"/>
        <v>0</v>
      </c>
      <c r="AB1664" s="220" t="str">
        <f t="shared" si="239"/>
        <v/>
      </c>
    </row>
    <row r="1665" spans="1:28" s="219" customFormat="1" ht="20.25">
      <c r="A1665" s="174"/>
      <c r="B1665" s="175" t="str">
        <f>IF(LEN(A1665)=0,"",INDEX('Smelter Look-up'!$A:$A,MATCH($A1665,'Smelter Look-up'!$E:$E,0)))</f>
        <v/>
      </c>
      <c r="C1665" s="179" t="str">
        <f>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37"/>
        <v/>
      </c>
      <c r="T1665" s="174" t="str">
        <f ca="1">IF(B1665="","",IF(ISERROR(MATCH($J1665,SorP!$B$1:$B$6279,0)),"",INDIRECT("'SorP'!$A$"&amp;MATCH($S1665&amp;$J1665,SorP!C:C,0))))</f>
        <v/>
      </c>
      <c r="U1665" s="194"/>
      <c r="V1665" s="218" t="e">
        <f>IF(C1665="",NA(),IF(OR(C1665="Smelter not listed",C1665="Smelter not yet identified"),MATCH($B1665&amp;$D1665,'Smelter Look-up'!$J:$J,0),MATCH($B1665&amp;$C1665,'Smelter Look-up'!$J:$J,0)))</f>
        <v>#N/A</v>
      </c>
      <c r="X1665" s="219">
        <f t="shared" ca="1" si="238"/>
        <v>0</v>
      </c>
      <c r="AB1665" s="220" t="str">
        <f t="shared" si="239"/>
        <v/>
      </c>
    </row>
    <row r="1666" spans="1:28" s="219" customFormat="1" ht="20.25">
      <c r="A1666" s="174"/>
      <c r="B1666" s="175" t="str">
        <f>IF(LEN(A1666)=0,"",INDEX('Smelter Look-up'!$A:$A,MATCH($A1666,'Smelter Look-up'!$E:$E,0)))</f>
        <v/>
      </c>
      <c r="C1666" s="179" t="str">
        <f>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37"/>
        <v/>
      </c>
      <c r="T1666" s="174" t="str">
        <f ca="1">IF(B1666="","",IF(ISERROR(MATCH($J1666,SorP!$B$1:$B$6279,0)),"",INDIRECT("'SorP'!$A$"&amp;MATCH($S1666&amp;$J1666,SorP!C:C,0))))</f>
        <v/>
      </c>
      <c r="U1666" s="194"/>
      <c r="V1666" s="218" t="e">
        <f>IF(C1666="",NA(),IF(OR(C1666="Smelter not listed",C1666="Smelter not yet identified"),MATCH($B1666&amp;$D1666,'Smelter Look-up'!$J:$J,0),MATCH($B1666&amp;$C1666,'Smelter Look-up'!$J:$J,0)))</f>
        <v>#N/A</v>
      </c>
      <c r="X1666" s="219">
        <f t="shared" ca="1" si="238"/>
        <v>0</v>
      </c>
      <c r="AB1666" s="220" t="str">
        <f t="shared" si="239"/>
        <v/>
      </c>
    </row>
    <row r="1667" spans="1:28" s="219" customFormat="1" ht="20.25">
      <c r="A1667" s="174"/>
      <c r="B1667" s="175" t="str">
        <f>IF(LEN(A1667)=0,"",INDEX('Smelter Look-up'!$A:$A,MATCH($A1667,'Smelter Look-up'!$E:$E,0)))</f>
        <v/>
      </c>
      <c r="C1667" s="179" t="str">
        <f>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37"/>
        <v/>
      </c>
      <c r="T1667" s="174" t="str">
        <f ca="1">IF(B1667="","",IF(ISERROR(MATCH($J1667,SorP!$B$1:$B$6279,0)),"",INDIRECT("'SorP'!$A$"&amp;MATCH($S1667&amp;$J1667,SorP!C:C,0))))</f>
        <v/>
      </c>
      <c r="U1667" s="194"/>
      <c r="V1667" s="218" t="e">
        <f>IF(C1667="",NA(),IF(OR(C1667="Smelter not listed",C1667="Smelter not yet identified"),MATCH($B1667&amp;$D1667,'Smelter Look-up'!$J:$J,0),MATCH($B1667&amp;$C1667,'Smelter Look-up'!$J:$J,0)))</f>
        <v>#N/A</v>
      </c>
      <c r="X1667" s="219">
        <f t="shared" ca="1" si="238"/>
        <v>0</v>
      </c>
      <c r="AB1667" s="220" t="str">
        <f t="shared" si="239"/>
        <v/>
      </c>
    </row>
    <row r="1668" spans="1:28" s="219" customFormat="1" ht="20.25">
      <c r="A1668" s="174"/>
      <c r="B1668" s="175" t="str">
        <f>IF(LEN(A1668)=0,"",INDEX('Smelter Look-up'!$A:$A,MATCH($A1668,'Smelter Look-up'!$E:$E,0)))</f>
        <v/>
      </c>
      <c r="C1668" s="179" t="str">
        <f>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37"/>
        <v/>
      </c>
      <c r="T1668" s="174" t="str">
        <f ca="1">IF(B1668="","",IF(ISERROR(MATCH($J1668,SorP!$B$1:$B$6279,0)),"",INDIRECT("'SorP'!$A$"&amp;MATCH($S1668&amp;$J1668,SorP!C:C,0))))</f>
        <v/>
      </c>
      <c r="U1668" s="194"/>
      <c r="V1668" s="218" t="e">
        <f>IF(C1668="",NA(),IF(OR(C1668="Smelter not listed",C1668="Smelter not yet identified"),MATCH($B1668&amp;$D1668,'Smelter Look-up'!$J:$J,0),MATCH($B1668&amp;$C1668,'Smelter Look-up'!$J:$J,0)))</f>
        <v>#N/A</v>
      </c>
      <c r="X1668" s="219">
        <f t="shared" ca="1" si="238"/>
        <v>0</v>
      </c>
      <c r="AB1668" s="220" t="str">
        <f t="shared" si="239"/>
        <v/>
      </c>
    </row>
    <row r="1669" spans="1:28" s="219" customFormat="1" ht="20.25">
      <c r="A1669" s="174"/>
      <c r="B1669" s="175" t="str">
        <f>IF(LEN(A1669)=0,"",INDEX('Smelter Look-up'!$A:$A,MATCH($A1669,'Smelter Look-up'!$E:$E,0)))</f>
        <v/>
      </c>
      <c r="C1669" s="179" t="str">
        <f>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37"/>
        <v/>
      </c>
      <c r="T1669" s="174" t="str">
        <f ca="1">IF(B1669="","",IF(ISERROR(MATCH($J1669,SorP!$B$1:$B$6279,0)),"",INDIRECT("'SorP'!$A$"&amp;MATCH($S1669&amp;$J1669,SorP!C:C,0))))</f>
        <v/>
      </c>
      <c r="U1669" s="194"/>
      <c r="V1669" s="218" t="e">
        <f>IF(C1669="",NA(),IF(OR(C1669="Smelter not listed",C1669="Smelter not yet identified"),MATCH($B1669&amp;$D1669,'Smelter Look-up'!$J:$J,0),MATCH($B1669&amp;$C1669,'Smelter Look-up'!$J:$J,0)))</f>
        <v>#N/A</v>
      </c>
      <c r="X1669" s="219">
        <f t="shared" ca="1" si="238"/>
        <v>0</v>
      </c>
      <c r="AB1669" s="220" t="str">
        <f t="shared" si="239"/>
        <v/>
      </c>
    </row>
    <row r="1670" spans="1:28" s="219" customFormat="1" ht="20.25">
      <c r="A1670" s="174"/>
      <c r="B1670" s="175" t="str">
        <f>IF(LEN(A1670)=0,"",INDEX('Smelter Look-up'!$A:$A,MATCH($A1670,'Smelter Look-up'!$E:$E,0)))</f>
        <v/>
      </c>
      <c r="C1670" s="179" t="str">
        <f>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37"/>
        <v/>
      </c>
      <c r="T1670" s="174" t="str">
        <f ca="1">IF(B1670="","",IF(ISERROR(MATCH($J1670,SorP!$B$1:$B$6279,0)),"",INDIRECT("'SorP'!$A$"&amp;MATCH($S1670&amp;$J1670,SorP!C:C,0))))</f>
        <v/>
      </c>
      <c r="U1670" s="194"/>
      <c r="V1670" s="218" t="e">
        <f>IF(C1670="",NA(),IF(OR(C1670="Smelter not listed",C1670="Smelter not yet identified"),MATCH($B1670&amp;$D1670,'Smelter Look-up'!$J:$J,0),MATCH($B1670&amp;$C1670,'Smelter Look-up'!$J:$J,0)))</f>
        <v>#N/A</v>
      </c>
      <c r="X1670" s="219">
        <f t="shared" ca="1" si="238"/>
        <v>0</v>
      </c>
      <c r="AB1670" s="220" t="str">
        <f t="shared" si="239"/>
        <v/>
      </c>
    </row>
    <row r="1671" spans="1:28" s="219" customFormat="1" ht="20.25">
      <c r="A1671" s="174"/>
      <c r="B1671" s="175" t="str">
        <f>IF(LEN(A1671)=0,"",INDEX('Smelter Look-up'!$A:$A,MATCH($A1671,'Smelter Look-up'!$E:$E,0)))</f>
        <v/>
      </c>
      <c r="C1671" s="179" t="str">
        <f>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37"/>
        <v/>
      </c>
      <c r="T1671" s="174" t="str">
        <f ca="1">IF(B1671="","",IF(ISERROR(MATCH($J1671,SorP!$B$1:$B$6279,0)),"",INDIRECT("'SorP'!$A$"&amp;MATCH($S1671&amp;$J1671,SorP!C:C,0))))</f>
        <v/>
      </c>
      <c r="U1671" s="194"/>
      <c r="V1671" s="218" t="e">
        <f>IF(C1671="",NA(),IF(OR(C1671="Smelter not listed",C1671="Smelter not yet identified"),MATCH($B1671&amp;$D1671,'Smelter Look-up'!$J:$J,0),MATCH($B1671&amp;$C1671,'Smelter Look-up'!$J:$J,0)))</f>
        <v>#N/A</v>
      </c>
      <c r="X1671" s="219">
        <f t="shared" ca="1" si="238"/>
        <v>0</v>
      </c>
      <c r="AB1671" s="220" t="str">
        <f t="shared" si="239"/>
        <v/>
      </c>
    </row>
    <row r="1672" spans="1:28" s="219" customFormat="1" ht="20.25">
      <c r="A1672" s="174"/>
      <c r="B1672" s="175" t="str">
        <f>IF(LEN(A1672)=0,"",INDEX('Smelter Look-up'!$A:$A,MATCH($A1672,'Smelter Look-up'!$E:$E,0)))</f>
        <v/>
      </c>
      <c r="C1672" s="179" t="str">
        <f>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37"/>
        <v/>
      </c>
      <c r="T1672" s="174" t="str">
        <f ca="1">IF(B1672="","",IF(ISERROR(MATCH($J1672,SorP!$B$1:$B$6279,0)),"",INDIRECT("'SorP'!$A$"&amp;MATCH($S1672&amp;$J1672,SorP!C:C,0))))</f>
        <v/>
      </c>
      <c r="U1672" s="194"/>
      <c r="V1672" s="218" t="e">
        <f>IF(C1672="",NA(),IF(OR(C1672="Smelter not listed",C1672="Smelter not yet identified"),MATCH($B1672&amp;$D1672,'Smelter Look-up'!$J:$J,0),MATCH($B1672&amp;$C1672,'Smelter Look-up'!$J:$J,0)))</f>
        <v>#N/A</v>
      </c>
      <c r="X1672" s="219">
        <f t="shared" ca="1" si="238"/>
        <v>0</v>
      </c>
      <c r="AB1672" s="220" t="str">
        <f t="shared" si="239"/>
        <v/>
      </c>
    </row>
    <row r="1673" spans="1:28" s="219" customFormat="1" ht="20.25">
      <c r="A1673" s="174"/>
      <c r="B1673" s="175" t="str">
        <f>IF(LEN(A1673)=0,"",INDEX('Smelter Look-up'!$A:$A,MATCH($A1673,'Smelter Look-up'!$E:$E,0)))</f>
        <v/>
      </c>
      <c r="C1673" s="179" t="str">
        <f>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37"/>
        <v/>
      </c>
      <c r="T1673" s="174" t="str">
        <f ca="1">IF(B1673="","",IF(ISERROR(MATCH($J1673,SorP!$B$1:$B$6279,0)),"",INDIRECT("'SorP'!$A$"&amp;MATCH($S1673&amp;$J1673,SorP!C:C,0))))</f>
        <v/>
      </c>
      <c r="U1673" s="194"/>
      <c r="V1673" s="218" t="e">
        <f>IF(C1673="",NA(),IF(OR(C1673="Smelter not listed",C1673="Smelter not yet identified"),MATCH($B1673&amp;$D1673,'Smelter Look-up'!$J:$J,0),MATCH($B1673&amp;$C1673,'Smelter Look-up'!$J:$J,0)))</f>
        <v>#N/A</v>
      </c>
      <c r="X1673" s="219">
        <f t="shared" ca="1" si="238"/>
        <v>0</v>
      </c>
      <c r="AB1673" s="220" t="str">
        <f t="shared" si="239"/>
        <v/>
      </c>
    </row>
    <row r="1674" spans="1:28" s="219" customFormat="1" ht="20.25">
      <c r="A1674" s="174"/>
      <c r="B1674" s="175" t="str">
        <f>IF(LEN(A1674)=0,"",INDEX('Smelter Look-up'!$A:$A,MATCH($A1674,'Smelter Look-up'!$E:$E,0)))</f>
        <v/>
      </c>
      <c r="C1674" s="179" t="str">
        <f>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37"/>
        <v/>
      </c>
      <c r="T1674" s="174" t="str">
        <f ca="1">IF(B1674="","",IF(ISERROR(MATCH($J1674,SorP!$B$1:$B$6279,0)),"",INDIRECT("'SorP'!$A$"&amp;MATCH($S1674&amp;$J1674,SorP!C:C,0))))</f>
        <v/>
      </c>
      <c r="U1674" s="194"/>
      <c r="V1674" s="218" t="e">
        <f>IF(C1674="",NA(),IF(OR(C1674="Smelter not listed",C1674="Smelter not yet identified"),MATCH($B1674&amp;$D1674,'Smelter Look-up'!$J:$J,0),MATCH($B1674&amp;$C1674,'Smelter Look-up'!$J:$J,0)))</f>
        <v>#N/A</v>
      </c>
      <c r="X1674" s="219">
        <f t="shared" ca="1" si="238"/>
        <v>0</v>
      </c>
      <c r="AB1674" s="220" t="str">
        <f t="shared" si="239"/>
        <v/>
      </c>
    </row>
    <row r="1675" spans="1:28" s="219" customFormat="1" ht="20.25">
      <c r="A1675" s="174"/>
      <c r="B1675" s="175" t="str">
        <f>IF(LEN(A1675)=0,"",INDEX('Smelter Look-up'!$A:$A,MATCH($A1675,'Smelter Look-up'!$E:$E,0)))</f>
        <v/>
      </c>
      <c r="C1675" s="179" t="str">
        <f>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37"/>
        <v/>
      </c>
      <c r="T1675" s="174" t="str">
        <f ca="1">IF(B1675="","",IF(ISERROR(MATCH($J1675,SorP!$B$1:$B$6279,0)),"",INDIRECT("'SorP'!$A$"&amp;MATCH($S1675&amp;$J1675,SorP!C:C,0))))</f>
        <v/>
      </c>
      <c r="U1675" s="194"/>
      <c r="V1675" s="218" t="e">
        <f>IF(C1675="",NA(),IF(OR(C1675="Smelter not listed",C1675="Smelter not yet identified"),MATCH($B1675&amp;$D1675,'Smelter Look-up'!$J:$J,0),MATCH($B1675&amp;$C1675,'Smelter Look-up'!$J:$J,0)))</f>
        <v>#N/A</v>
      </c>
      <c r="X1675" s="219">
        <f t="shared" ca="1" si="238"/>
        <v>0</v>
      </c>
      <c r="AB1675" s="220" t="str">
        <f t="shared" si="239"/>
        <v/>
      </c>
    </row>
    <row r="1676" spans="1:28" s="219" customFormat="1" ht="20.25">
      <c r="A1676" s="174"/>
      <c r="B1676" s="175" t="str">
        <f>IF(LEN(A1676)=0,"",INDEX('Smelter Look-up'!$A:$A,MATCH($A1676,'Smelter Look-up'!$E:$E,0)))</f>
        <v/>
      </c>
      <c r="C1676" s="179" t="str">
        <f>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37"/>
        <v/>
      </c>
      <c r="T1676" s="174" t="str">
        <f ca="1">IF(B1676="","",IF(ISERROR(MATCH($J1676,SorP!$B$1:$B$6279,0)),"",INDIRECT("'SorP'!$A$"&amp;MATCH($S1676&amp;$J1676,SorP!C:C,0))))</f>
        <v/>
      </c>
      <c r="U1676" s="194"/>
      <c r="V1676" s="218" t="e">
        <f>IF(C1676="",NA(),IF(OR(C1676="Smelter not listed",C1676="Smelter not yet identified"),MATCH($B1676&amp;$D1676,'Smelter Look-up'!$J:$J,0),MATCH($B1676&amp;$C1676,'Smelter Look-up'!$J:$J,0)))</f>
        <v>#N/A</v>
      </c>
      <c r="X1676" s="219">
        <f t="shared" ca="1" si="238"/>
        <v>0</v>
      </c>
      <c r="AB1676" s="220" t="str">
        <f t="shared" si="239"/>
        <v/>
      </c>
    </row>
    <row r="1677" spans="1:28" s="219" customFormat="1" ht="20.25">
      <c r="A1677" s="174"/>
      <c r="B1677" s="175" t="str">
        <f>IF(LEN(A1677)=0,"",INDEX('Smelter Look-up'!$A:$A,MATCH($A1677,'Smelter Look-up'!$E:$E,0)))</f>
        <v/>
      </c>
      <c r="C1677" s="179" t="str">
        <f>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37"/>
        <v/>
      </c>
      <c r="T1677" s="174" t="str">
        <f ca="1">IF(B1677="","",IF(ISERROR(MATCH($J1677,SorP!$B$1:$B$6279,0)),"",INDIRECT("'SorP'!$A$"&amp;MATCH($S1677&amp;$J1677,SorP!C:C,0))))</f>
        <v/>
      </c>
      <c r="U1677" s="194"/>
      <c r="V1677" s="218" t="e">
        <f>IF(C1677="",NA(),IF(OR(C1677="Smelter not listed",C1677="Smelter not yet identified"),MATCH($B1677&amp;$D1677,'Smelter Look-up'!$J:$J,0),MATCH($B1677&amp;$C1677,'Smelter Look-up'!$J:$J,0)))</f>
        <v>#N/A</v>
      </c>
      <c r="X1677" s="219">
        <f t="shared" ca="1" si="238"/>
        <v>0</v>
      </c>
      <c r="AB1677" s="220" t="str">
        <f t="shared" si="239"/>
        <v/>
      </c>
    </row>
    <row r="1678" spans="1:28" s="219" customFormat="1" ht="20.25">
      <c r="A1678" s="174"/>
      <c r="B1678" s="175" t="str">
        <f>IF(LEN(A1678)=0,"",INDEX('Smelter Look-up'!$A:$A,MATCH($A1678,'Smelter Look-up'!$E:$E,0)))</f>
        <v/>
      </c>
      <c r="C1678" s="179" t="str">
        <f>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37"/>
        <v/>
      </c>
      <c r="T1678" s="174" t="str">
        <f ca="1">IF(B1678="","",IF(ISERROR(MATCH($J1678,SorP!$B$1:$B$6279,0)),"",INDIRECT("'SorP'!$A$"&amp;MATCH($S1678&amp;$J1678,SorP!C:C,0))))</f>
        <v/>
      </c>
      <c r="U1678" s="194"/>
      <c r="V1678" s="218" t="e">
        <f>IF(C1678="",NA(),IF(OR(C1678="Smelter not listed",C1678="Smelter not yet identified"),MATCH($B1678&amp;$D1678,'Smelter Look-up'!$J:$J,0),MATCH($B1678&amp;$C1678,'Smelter Look-up'!$J:$J,0)))</f>
        <v>#N/A</v>
      </c>
      <c r="X1678" s="219">
        <f t="shared" ca="1" si="238"/>
        <v>0</v>
      </c>
      <c r="AB1678" s="220" t="str">
        <f t="shared" si="239"/>
        <v/>
      </c>
    </row>
    <row r="1679" spans="1:28" s="219" customFormat="1" ht="20.25">
      <c r="A1679" s="174"/>
      <c r="B1679" s="175" t="str">
        <f>IF(LEN(A1679)=0,"",INDEX('Smelter Look-up'!$A:$A,MATCH($A1679,'Smelter Look-up'!$E:$E,0)))</f>
        <v/>
      </c>
      <c r="C1679" s="179" t="str">
        <f>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37"/>
        <v/>
      </c>
      <c r="T1679" s="174" t="str">
        <f ca="1">IF(B1679="","",IF(ISERROR(MATCH($J1679,SorP!$B$1:$B$6279,0)),"",INDIRECT("'SorP'!$A$"&amp;MATCH($S1679&amp;$J1679,SorP!C:C,0))))</f>
        <v/>
      </c>
      <c r="U1679" s="194"/>
      <c r="V1679" s="218" t="e">
        <f>IF(C1679="",NA(),IF(OR(C1679="Smelter not listed",C1679="Smelter not yet identified"),MATCH($B1679&amp;$D1679,'Smelter Look-up'!$J:$J,0),MATCH($B1679&amp;$C1679,'Smelter Look-up'!$J:$J,0)))</f>
        <v>#N/A</v>
      </c>
      <c r="X1679" s="219">
        <f t="shared" ca="1" si="238"/>
        <v>0</v>
      </c>
      <c r="AB1679" s="220" t="str">
        <f t="shared" si="239"/>
        <v/>
      </c>
    </row>
    <row r="1680" spans="1:28" s="219" customFormat="1" ht="20.25">
      <c r="A1680" s="174"/>
      <c r="B1680" s="175" t="str">
        <f>IF(LEN(A1680)=0,"",INDEX('Smelter Look-up'!$A:$A,MATCH($A1680,'Smelter Look-up'!$E:$E,0)))</f>
        <v/>
      </c>
      <c r="C1680" s="179" t="str">
        <f>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37"/>
        <v/>
      </c>
      <c r="T1680" s="174" t="str">
        <f ca="1">IF(B1680="","",IF(ISERROR(MATCH($J1680,SorP!$B$1:$B$6279,0)),"",INDIRECT("'SorP'!$A$"&amp;MATCH($S1680&amp;$J1680,SorP!C:C,0))))</f>
        <v/>
      </c>
      <c r="U1680" s="194"/>
      <c r="V1680" s="218" t="e">
        <f>IF(C1680="",NA(),IF(OR(C1680="Smelter not listed",C1680="Smelter not yet identified"),MATCH($B1680&amp;$D1680,'Smelter Look-up'!$J:$J,0),MATCH($B1680&amp;$C1680,'Smelter Look-up'!$J:$J,0)))</f>
        <v>#N/A</v>
      </c>
      <c r="X1680" s="219">
        <f t="shared" ca="1" si="238"/>
        <v>0</v>
      </c>
      <c r="AB1680" s="220" t="str">
        <f t="shared" si="239"/>
        <v/>
      </c>
    </row>
    <row r="1681" spans="1:28" s="219" customFormat="1" ht="20.25">
      <c r="A1681" s="174"/>
      <c r="B1681" s="175" t="str">
        <f>IF(LEN(A1681)=0,"",INDEX('Smelter Look-up'!$A:$A,MATCH($A1681,'Smelter Look-up'!$E:$E,0)))</f>
        <v/>
      </c>
      <c r="C1681" s="179" t="str">
        <f>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37"/>
        <v/>
      </c>
      <c r="T1681" s="174" t="str">
        <f ca="1">IF(B1681="","",IF(ISERROR(MATCH($J1681,SorP!$B$1:$B$6279,0)),"",INDIRECT("'SorP'!$A$"&amp;MATCH($S1681&amp;$J1681,SorP!C:C,0))))</f>
        <v/>
      </c>
      <c r="U1681" s="194"/>
      <c r="V1681" s="218" t="e">
        <f>IF(C1681="",NA(),IF(OR(C1681="Smelter not listed",C1681="Smelter not yet identified"),MATCH($B1681&amp;$D1681,'Smelter Look-up'!$J:$J,0),MATCH($B1681&amp;$C1681,'Smelter Look-up'!$J:$J,0)))</f>
        <v>#N/A</v>
      </c>
      <c r="X1681" s="219">
        <f t="shared" ca="1" si="238"/>
        <v>0</v>
      </c>
      <c r="AB1681" s="220" t="str">
        <f t="shared" si="239"/>
        <v/>
      </c>
    </row>
    <row r="1682" spans="1:28" s="219" customFormat="1" ht="20.25">
      <c r="A1682" s="174"/>
      <c r="B1682" s="175" t="str">
        <f>IF(LEN(A1682)=0,"",INDEX('Smelter Look-up'!$A:$A,MATCH($A1682,'Smelter Look-up'!$E:$E,0)))</f>
        <v/>
      </c>
      <c r="C1682" s="179" t="str">
        <f>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237"/>
        <v/>
      </c>
      <c r="T1682" s="174" t="str">
        <f ca="1">IF(B1682="","",IF(ISERROR(MATCH($J1682,SorP!$B$1:$B$6279,0)),"",INDIRECT("'SorP'!$A$"&amp;MATCH($S1682&amp;$J1682,SorP!C:C,0))))</f>
        <v/>
      </c>
      <c r="U1682" s="194"/>
      <c r="V1682" s="218" t="e">
        <f>IF(C1682="",NA(),IF(OR(C1682="Smelter not listed",C1682="Smelter not yet identified"),MATCH($B1682&amp;$D1682,'Smelter Look-up'!$J:$J,0),MATCH($B1682&amp;$C1682,'Smelter Look-up'!$J:$J,0)))</f>
        <v>#N/A</v>
      </c>
      <c r="X1682" s="219">
        <f t="shared" ca="1" si="238"/>
        <v>0</v>
      </c>
      <c r="AB1682" s="220" t="str">
        <f t="shared" si="239"/>
        <v/>
      </c>
    </row>
    <row r="1683" spans="1:28" s="219" customFormat="1" ht="20.25">
      <c r="A1683" s="174"/>
      <c r="B1683" s="175" t="str">
        <f>IF(LEN(A1683)=0,"",INDEX('Smelter Look-up'!$A:$A,MATCH($A1683,'Smelter Look-up'!$E:$E,0)))</f>
        <v/>
      </c>
      <c r="C1683" s="179" t="str">
        <f>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237"/>
        <v/>
      </c>
      <c r="T1683" s="174" t="str">
        <f ca="1">IF(B1683="","",IF(ISERROR(MATCH($J1683,SorP!$B$1:$B$6279,0)),"",INDIRECT("'SorP'!$A$"&amp;MATCH($S1683&amp;$J1683,SorP!C:C,0))))</f>
        <v/>
      </c>
      <c r="U1683" s="194"/>
      <c r="V1683" s="218" t="e">
        <f>IF(C1683="",NA(),IF(OR(C1683="Smelter not listed",C1683="Smelter not yet identified"),MATCH($B1683&amp;$D1683,'Smelter Look-up'!$J:$J,0),MATCH($B1683&amp;$C1683,'Smelter Look-up'!$J:$J,0)))</f>
        <v>#N/A</v>
      </c>
      <c r="X1683" s="219">
        <f t="shared" ca="1" si="238"/>
        <v>0</v>
      </c>
      <c r="AB1683" s="220" t="str">
        <f t="shared" si="239"/>
        <v/>
      </c>
    </row>
    <row r="1684" spans="1:28" s="219" customFormat="1" ht="20.25">
      <c r="A1684" s="174"/>
      <c r="B1684" s="175" t="str">
        <f>IF(LEN(A1684)=0,"",INDEX('Smelter Look-up'!$A:$A,MATCH($A1684,'Smelter Look-up'!$E:$E,0)))</f>
        <v/>
      </c>
      <c r="C1684" s="179" t="str">
        <f>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37"/>
        <v/>
      </c>
      <c r="T1684" s="174" t="str">
        <f ca="1">IF(B1684="","",IF(ISERROR(MATCH($J1684,SorP!$B$1:$B$6279,0)),"",INDIRECT("'SorP'!$A$"&amp;MATCH($S1684&amp;$J1684,SorP!C:C,0))))</f>
        <v/>
      </c>
      <c r="U1684" s="194"/>
      <c r="V1684" s="218" t="e">
        <f>IF(C1684="",NA(),IF(OR(C1684="Smelter not listed",C1684="Smelter not yet identified"),MATCH($B1684&amp;$D1684,'Smelter Look-up'!$J:$J,0),MATCH($B1684&amp;$C1684,'Smelter Look-up'!$J:$J,0)))</f>
        <v>#N/A</v>
      </c>
      <c r="X1684" s="219">
        <f t="shared" ca="1" si="238"/>
        <v>0</v>
      </c>
      <c r="AB1684" s="220" t="str">
        <f t="shared" si="239"/>
        <v/>
      </c>
    </row>
    <row r="1685" spans="1:28" s="219" customFormat="1" ht="20.25">
      <c r="A1685" s="174"/>
      <c r="B1685" s="175" t="str">
        <f>IF(LEN(A1685)=0,"",INDEX('Smelter Look-up'!$A:$A,MATCH($A1685,'Smelter Look-up'!$E:$E,0)))</f>
        <v/>
      </c>
      <c r="C1685" s="179" t="str">
        <f>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37"/>
        <v/>
      </c>
      <c r="T1685" s="174" t="str">
        <f ca="1">IF(B1685="","",IF(ISERROR(MATCH($J1685,SorP!$B$1:$B$6279,0)),"",INDIRECT("'SorP'!$A$"&amp;MATCH($S1685&amp;$J1685,SorP!C:C,0))))</f>
        <v/>
      </c>
      <c r="U1685" s="194"/>
      <c r="V1685" s="218" t="e">
        <f>IF(C1685="",NA(),IF(OR(C1685="Smelter not listed",C1685="Smelter not yet identified"),MATCH($B1685&amp;$D1685,'Smelter Look-up'!$J:$J,0),MATCH($B1685&amp;$C1685,'Smelter Look-up'!$J:$J,0)))</f>
        <v>#N/A</v>
      </c>
      <c r="X1685" s="219">
        <f t="shared" ca="1" si="238"/>
        <v>0</v>
      </c>
      <c r="AB1685" s="220" t="str">
        <f t="shared" si="239"/>
        <v/>
      </c>
    </row>
    <row r="1686" spans="1:28" s="219" customFormat="1" ht="20.25">
      <c r="A1686" s="174"/>
      <c r="B1686" s="175" t="str">
        <f>IF(LEN(A1686)=0,"",INDEX('Smelter Look-up'!$A:$A,MATCH($A1686,'Smelter Look-up'!$E:$E,0)))</f>
        <v/>
      </c>
      <c r="C1686" s="179" t="str">
        <f>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37"/>
        <v/>
      </c>
      <c r="T1686" s="174" t="str">
        <f ca="1">IF(B1686="","",IF(ISERROR(MATCH($J1686,SorP!$B$1:$B$6279,0)),"",INDIRECT("'SorP'!$A$"&amp;MATCH($S1686&amp;$J1686,SorP!C:C,0))))</f>
        <v/>
      </c>
      <c r="U1686" s="194"/>
      <c r="V1686" s="218" t="e">
        <f>IF(C1686="",NA(),IF(OR(C1686="Smelter not listed",C1686="Smelter not yet identified"),MATCH($B1686&amp;$D1686,'Smelter Look-up'!$J:$J,0),MATCH($B1686&amp;$C1686,'Smelter Look-up'!$J:$J,0)))</f>
        <v>#N/A</v>
      </c>
      <c r="X1686" s="219">
        <f t="shared" ca="1" si="238"/>
        <v>0</v>
      </c>
      <c r="AB1686" s="220" t="str">
        <f t="shared" si="239"/>
        <v/>
      </c>
    </row>
    <row r="1687" spans="1:28" s="219" customFormat="1" ht="20.25">
      <c r="A1687" s="174"/>
      <c r="B1687" s="175" t="str">
        <f>IF(LEN(A1687)=0,"",INDEX('Smelter Look-up'!$A:$A,MATCH($A1687,'Smelter Look-up'!$E:$E,0)))</f>
        <v/>
      </c>
      <c r="C1687" s="179" t="str">
        <f>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37"/>
        <v/>
      </c>
      <c r="T1687" s="174" t="str">
        <f ca="1">IF(B1687="","",IF(ISERROR(MATCH($J1687,SorP!$B$1:$B$6279,0)),"",INDIRECT("'SorP'!$A$"&amp;MATCH($S1687&amp;$J1687,SorP!C:C,0))))</f>
        <v/>
      </c>
      <c r="U1687" s="194"/>
      <c r="V1687" s="218" t="e">
        <f>IF(C1687="",NA(),IF(OR(C1687="Smelter not listed",C1687="Smelter not yet identified"),MATCH($B1687&amp;$D1687,'Smelter Look-up'!$J:$J,0),MATCH($B1687&amp;$C1687,'Smelter Look-up'!$J:$J,0)))</f>
        <v>#N/A</v>
      </c>
      <c r="X1687" s="219">
        <f t="shared" ca="1" si="238"/>
        <v>0</v>
      </c>
      <c r="AB1687" s="220" t="str">
        <f t="shared" si="239"/>
        <v/>
      </c>
    </row>
    <row r="1688" spans="1:28" s="219" customFormat="1" ht="20.25">
      <c r="A1688" s="174"/>
      <c r="B1688" s="175" t="str">
        <f>IF(LEN(A1688)=0,"",INDEX('Smelter Look-up'!$A:$A,MATCH($A1688,'Smelter Look-up'!$E:$E,0)))</f>
        <v/>
      </c>
      <c r="C1688" s="179" t="str">
        <f>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37"/>
        <v/>
      </c>
      <c r="T1688" s="174" t="str">
        <f ca="1">IF(B1688="","",IF(ISERROR(MATCH($J1688,SorP!$B$1:$B$6279,0)),"",INDIRECT("'SorP'!$A$"&amp;MATCH($S1688&amp;$J1688,SorP!C:C,0))))</f>
        <v/>
      </c>
      <c r="U1688" s="194"/>
      <c r="V1688" s="218" t="e">
        <f>IF(C1688="",NA(),IF(OR(C1688="Smelter not listed",C1688="Smelter not yet identified"),MATCH($B1688&amp;$D1688,'Smelter Look-up'!$J:$J,0),MATCH($B1688&amp;$C1688,'Smelter Look-up'!$J:$J,0)))</f>
        <v>#N/A</v>
      </c>
      <c r="X1688" s="219">
        <f t="shared" ca="1" si="238"/>
        <v>0</v>
      </c>
      <c r="AB1688" s="220" t="str">
        <f t="shared" si="239"/>
        <v/>
      </c>
    </row>
    <row r="1689" spans="1:28" s="219" customFormat="1" ht="20.25">
      <c r="A1689" s="174"/>
      <c r="B1689" s="175" t="str">
        <f>IF(LEN(A1689)=0,"",INDEX('Smelter Look-up'!$A:$A,MATCH($A1689,'Smelter Look-up'!$E:$E,0)))</f>
        <v/>
      </c>
      <c r="C1689" s="179" t="str">
        <f>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37"/>
        <v/>
      </c>
      <c r="T1689" s="174" t="str">
        <f ca="1">IF(B1689="","",IF(ISERROR(MATCH($J1689,SorP!$B$1:$B$6279,0)),"",INDIRECT("'SorP'!$A$"&amp;MATCH($S1689&amp;$J1689,SorP!C:C,0))))</f>
        <v/>
      </c>
      <c r="U1689" s="194"/>
      <c r="V1689" s="218" t="e">
        <f>IF(C1689="",NA(),IF(OR(C1689="Smelter not listed",C1689="Smelter not yet identified"),MATCH($B1689&amp;$D1689,'Smelter Look-up'!$J:$J,0),MATCH($B1689&amp;$C1689,'Smelter Look-up'!$J:$J,0)))</f>
        <v>#N/A</v>
      </c>
      <c r="X1689" s="219">
        <f t="shared" ca="1" si="238"/>
        <v>0</v>
      </c>
      <c r="AB1689" s="220" t="str">
        <f t="shared" si="239"/>
        <v/>
      </c>
    </row>
    <row r="1690" spans="1:28" s="219" customFormat="1" ht="20.25">
      <c r="A1690" s="174"/>
      <c r="B1690" s="175" t="str">
        <f>IF(LEN(A1690)=0,"",INDEX('Smelter Look-up'!$A:$A,MATCH($A1690,'Smelter Look-up'!$E:$E,0)))</f>
        <v/>
      </c>
      <c r="C1690" s="179" t="str">
        <f>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237"/>
        <v/>
      </c>
      <c r="T1690" s="174" t="str">
        <f ca="1">IF(B1690="","",IF(ISERROR(MATCH($J1690,SorP!$B$1:$B$6279,0)),"",INDIRECT("'SorP'!$A$"&amp;MATCH($S1690&amp;$J1690,SorP!C:C,0))))</f>
        <v/>
      </c>
      <c r="U1690" s="194"/>
      <c r="V1690" s="218" t="e">
        <f>IF(C1690="",NA(),IF(OR(C1690="Smelter not listed",C1690="Smelter not yet identified"),MATCH($B1690&amp;$D1690,'Smelter Look-up'!$J:$J,0),MATCH($B1690&amp;$C1690,'Smelter Look-up'!$J:$J,0)))</f>
        <v>#N/A</v>
      </c>
      <c r="X1690" s="219">
        <f t="shared" ca="1" si="238"/>
        <v>0</v>
      </c>
      <c r="AB1690" s="220" t="str">
        <f t="shared" si="239"/>
        <v/>
      </c>
    </row>
    <row r="1691" spans="1:28" s="219" customFormat="1" ht="20.25">
      <c r="A1691" s="174"/>
      <c r="B1691" s="175" t="str">
        <f>IF(LEN(A1691)=0,"",INDEX('Smelter Look-up'!$A:$A,MATCH($A1691,'Smelter Look-up'!$E:$E,0)))</f>
        <v/>
      </c>
      <c r="C1691" s="179" t="str">
        <f>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237"/>
        <v/>
      </c>
      <c r="T1691" s="174" t="str">
        <f ca="1">IF(B1691="","",IF(ISERROR(MATCH($J1691,SorP!$B$1:$B$6279,0)),"",INDIRECT("'SorP'!$A$"&amp;MATCH($S1691&amp;$J1691,SorP!C:C,0))))</f>
        <v/>
      </c>
      <c r="U1691" s="194"/>
      <c r="V1691" s="218" t="e">
        <f>IF(C1691="",NA(),IF(OR(C1691="Smelter not listed",C1691="Smelter not yet identified"),MATCH($B1691&amp;$D1691,'Smelter Look-up'!$J:$J,0),MATCH($B1691&amp;$C1691,'Smelter Look-up'!$J:$J,0)))</f>
        <v>#N/A</v>
      </c>
      <c r="X1691" s="219">
        <f t="shared" ca="1" si="238"/>
        <v>0</v>
      </c>
      <c r="AB1691" s="220" t="str">
        <f t="shared" si="239"/>
        <v/>
      </c>
    </row>
    <row r="1692" spans="1:28" s="219" customFormat="1" ht="20.25">
      <c r="A1692" s="174"/>
      <c r="B1692" s="175" t="str">
        <f>IF(LEN(A1692)=0,"",INDEX('Smelter Look-up'!$A:$A,MATCH($A1692,'Smelter Look-up'!$E:$E,0)))</f>
        <v/>
      </c>
      <c r="C1692" s="179" t="str">
        <f>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ref="S1692:S1722" ca="1" si="240">IF(B1692="","",IF(ISERROR(MATCH($E1692,CL,0)),"Unknown",INDIRECT("'C'!$A$"&amp;MATCH($E1692,CL,0)+1)))</f>
        <v/>
      </c>
      <c r="T1692" s="174" t="str">
        <f ca="1">IF(B1692="","",IF(ISERROR(MATCH($J1692,SorP!$B$1:$B$6279,0)),"",INDIRECT("'SorP'!$A$"&amp;MATCH($S1692&amp;$J1692,SorP!C:C,0))))</f>
        <v/>
      </c>
      <c r="U1692" s="194"/>
      <c r="V1692" s="218" t="e">
        <f>IF(C1692="",NA(),IF(OR(C1692="Smelter not listed",C1692="Smelter not yet identified"),MATCH($B1692&amp;$D1692,'Smelter Look-up'!$J:$J,0),MATCH($B1692&amp;$C1692,'Smelter Look-up'!$J:$J,0)))</f>
        <v>#N/A</v>
      </c>
      <c r="X1692" s="219">
        <f t="shared" ref="X1692:X1722" ca="1" si="241">IF(AND(C1692="Smelter not listed",OR(LEN(D1692)=0,LEN(E1692)=0)),1,0)</f>
        <v>0</v>
      </c>
      <c r="AB1692" s="220" t="str">
        <f t="shared" ref="AB1692:AB1722" si="242">B1692&amp;C1692</f>
        <v/>
      </c>
    </row>
    <row r="1693" spans="1:28" s="219" customFormat="1" ht="20.25">
      <c r="A1693" s="174"/>
      <c r="B1693" s="175" t="str">
        <f>IF(LEN(A1693)=0,"",INDEX('Smelter Look-up'!$A:$A,MATCH($A1693,'Smelter Look-up'!$E:$E,0)))</f>
        <v/>
      </c>
      <c r="C1693" s="179" t="str">
        <f>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40"/>
        <v/>
      </c>
      <c r="T1693" s="174" t="str">
        <f ca="1">IF(B1693="","",IF(ISERROR(MATCH($J1693,SorP!$B$1:$B$6279,0)),"",INDIRECT("'SorP'!$A$"&amp;MATCH($S1693&amp;$J1693,SorP!C:C,0))))</f>
        <v/>
      </c>
      <c r="U1693" s="194"/>
      <c r="V1693" s="218" t="e">
        <f>IF(C1693="",NA(),IF(OR(C1693="Smelter not listed",C1693="Smelter not yet identified"),MATCH($B1693&amp;$D1693,'Smelter Look-up'!$J:$J,0),MATCH($B1693&amp;$C1693,'Smelter Look-up'!$J:$J,0)))</f>
        <v>#N/A</v>
      </c>
      <c r="X1693" s="219">
        <f t="shared" ca="1" si="241"/>
        <v>0</v>
      </c>
      <c r="AB1693" s="220" t="str">
        <f t="shared" si="242"/>
        <v/>
      </c>
    </row>
    <row r="1694" spans="1:28" s="219" customFormat="1" ht="20.25">
      <c r="A1694" s="174"/>
      <c r="B1694" s="175" t="str">
        <f>IF(LEN(A1694)=0,"",INDEX('Smelter Look-up'!$A:$A,MATCH($A1694,'Smelter Look-up'!$E:$E,0)))</f>
        <v/>
      </c>
      <c r="C1694" s="179" t="str">
        <f>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40"/>
        <v/>
      </c>
      <c r="T1694" s="174" t="str">
        <f ca="1">IF(B1694="","",IF(ISERROR(MATCH($J1694,SorP!$B$1:$B$6279,0)),"",INDIRECT("'SorP'!$A$"&amp;MATCH($S1694&amp;$J1694,SorP!C:C,0))))</f>
        <v/>
      </c>
      <c r="U1694" s="194"/>
      <c r="V1694" s="218" t="e">
        <f>IF(C1694="",NA(),IF(OR(C1694="Smelter not listed",C1694="Smelter not yet identified"),MATCH($B1694&amp;$D1694,'Smelter Look-up'!$J:$J,0),MATCH($B1694&amp;$C1694,'Smelter Look-up'!$J:$J,0)))</f>
        <v>#N/A</v>
      </c>
      <c r="X1694" s="219">
        <f t="shared" ca="1" si="241"/>
        <v>0</v>
      </c>
      <c r="AB1694" s="220" t="str">
        <f t="shared" si="242"/>
        <v/>
      </c>
    </row>
    <row r="1695" spans="1:28" s="219" customFormat="1" ht="20.25">
      <c r="A1695" s="174"/>
      <c r="B1695" s="175" t="str">
        <f>IF(LEN(A1695)=0,"",INDEX('Smelter Look-up'!$A:$A,MATCH($A1695,'Smelter Look-up'!$E:$E,0)))</f>
        <v/>
      </c>
      <c r="C1695" s="179" t="str">
        <f>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40"/>
        <v/>
      </c>
      <c r="T1695" s="174" t="str">
        <f ca="1">IF(B1695="","",IF(ISERROR(MATCH($J1695,SorP!$B$1:$B$6279,0)),"",INDIRECT("'SorP'!$A$"&amp;MATCH($S1695&amp;$J1695,SorP!C:C,0))))</f>
        <v/>
      </c>
      <c r="U1695" s="194"/>
      <c r="V1695" s="218" t="e">
        <f>IF(C1695="",NA(),IF(OR(C1695="Smelter not listed",C1695="Smelter not yet identified"),MATCH($B1695&amp;$D1695,'Smelter Look-up'!$J:$J,0),MATCH($B1695&amp;$C1695,'Smelter Look-up'!$J:$J,0)))</f>
        <v>#N/A</v>
      </c>
      <c r="X1695" s="219">
        <f t="shared" ca="1" si="241"/>
        <v>0</v>
      </c>
      <c r="AB1695" s="220" t="str">
        <f t="shared" si="242"/>
        <v/>
      </c>
    </row>
    <row r="1696" spans="1:28" s="219" customFormat="1" ht="20.25">
      <c r="A1696" s="174"/>
      <c r="B1696" s="175" t="str">
        <f>IF(LEN(A1696)=0,"",INDEX('Smelter Look-up'!$A:$A,MATCH($A1696,'Smelter Look-up'!$E:$E,0)))</f>
        <v/>
      </c>
      <c r="C1696" s="179" t="str">
        <f>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40"/>
        <v/>
      </c>
      <c r="T1696" s="174" t="str">
        <f ca="1">IF(B1696="","",IF(ISERROR(MATCH($J1696,SorP!$B$1:$B$6279,0)),"",INDIRECT("'SorP'!$A$"&amp;MATCH($S1696&amp;$J1696,SorP!C:C,0))))</f>
        <v/>
      </c>
      <c r="U1696" s="194"/>
      <c r="V1696" s="218" t="e">
        <f>IF(C1696="",NA(),IF(OR(C1696="Smelter not listed",C1696="Smelter not yet identified"),MATCH($B1696&amp;$D1696,'Smelter Look-up'!$J:$J,0),MATCH($B1696&amp;$C1696,'Smelter Look-up'!$J:$J,0)))</f>
        <v>#N/A</v>
      </c>
      <c r="X1696" s="219">
        <f t="shared" ca="1" si="241"/>
        <v>0</v>
      </c>
      <c r="AB1696" s="220" t="str">
        <f t="shared" si="242"/>
        <v/>
      </c>
    </row>
    <row r="1697" spans="1:28" s="219" customFormat="1" ht="20.25">
      <c r="A1697" s="174"/>
      <c r="B1697" s="175" t="str">
        <f>IF(LEN(A1697)=0,"",INDEX('Smelter Look-up'!$A:$A,MATCH($A1697,'Smelter Look-up'!$E:$E,0)))</f>
        <v/>
      </c>
      <c r="C1697" s="179" t="str">
        <f>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40"/>
        <v/>
      </c>
      <c r="T1697" s="174" t="str">
        <f ca="1">IF(B1697="","",IF(ISERROR(MATCH($J1697,SorP!$B$1:$B$6279,0)),"",INDIRECT("'SorP'!$A$"&amp;MATCH($S1697&amp;$J1697,SorP!C:C,0))))</f>
        <v/>
      </c>
      <c r="U1697" s="194"/>
      <c r="V1697" s="218" t="e">
        <f>IF(C1697="",NA(),IF(OR(C1697="Smelter not listed",C1697="Smelter not yet identified"),MATCH($B1697&amp;$D1697,'Smelter Look-up'!$J:$J,0),MATCH($B1697&amp;$C1697,'Smelter Look-up'!$J:$J,0)))</f>
        <v>#N/A</v>
      </c>
      <c r="X1697" s="219">
        <f t="shared" ca="1" si="241"/>
        <v>0</v>
      </c>
      <c r="AB1697" s="220" t="str">
        <f t="shared" si="242"/>
        <v/>
      </c>
    </row>
    <row r="1698" spans="1:28" s="219" customFormat="1" ht="20.25">
      <c r="A1698" s="174"/>
      <c r="B1698" s="175" t="str">
        <f>IF(LEN(A1698)=0,"",INDEX('Smelter Look-up'!$A:$A,MATCH($A1698,'Smelter Look-up'!$E:$E,0)))</f>
        <v/>
      </c>
      <c r="C1698" s="179" t="str">
        <f>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40"/>
        <v/>
      </c>
      <c r="T1698" s="174" t="str">
        <f ca="1">IF(B1698="","",IF(ISERROR(MATCH($J1698,SorP!$B$1:$B$6279,0)),"",INDIRECT("'SorP'!$A$"&amp;MATCH($S1698&amp;$J1698,SorP!C:C,0))))</f>
        <v/>
      </c>
      <c r="U1698" s="194"/>
      <c r="V1698" s="218" t="e">
        <f>IF(C1698="",NA(),IF(OR(C1698="Smelter not listed",C1698="Smelter not yet identified"),MATCH($B1698&amp;$D1698,'Smelter Look-up'!$J:$J,0),MATCH($B1698&amp;$C1698,'Smelter Look-up'!$J:$J,0)))</f>
        <v>#N/A</v>
      </c>
      <c r="X1698" s="219">
        <f t="shared" ca="1" si="241"/>
        <v>0</v>
      </c>
      <c r="AB1698" s="220" t="str">
        <f t="shared" si="242"/>
        <v/>
      </c>
    </row>
    <row r="1699" spans="1:28" s="219" customFormat="1" ht="20.25">
      <c r="A1699" s="174"/>
      <c r="B1699" s="175" t="str">
        <f>IF(LEN(A1699)=0,"",INDEX('Smelter Look-up'!$A:$A,MATCH($A1699,'Smelter Look-up'!$E:$E,0)))</f>
        <v/>
      </c>
      <c r="C1699" s="179" t="str">
        <f>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40"/>
        <v/>
      </c>
      <c r="T1699" s="174" t="str">
        <f ca="1">IF(B1699="","",IF(ISERROR(MATCH($J1699,SorP!$B$1:$B$6279,0)),"",INDIRECT("'SorP'!$A$"&amp;MATCH($S1699&amp;$J1699,SorP!C:C,0))))</f>
        <v/>
      </c>
      <c r="U1699" s="194"/>
      <c r="V1699" s="218" t="e">
        <f>IF(C1699="",NA(),IF(OR(C1699="Smelter not listed",C1699="Smelter not yet identified"),MATCH($B1699&amp;$D1699,'Smelter Look-up'!$J:$J,0),MATCH($B1699&amp;$C1699,'Smelter Look-up'!$J:$J,0)))</f>
        <v>#N/A</v>
      </c>
      <c r="X1699" s="219">
        <f t="shared" ca="1" si="241"/>
        <v>0</v>
      </c>
      <c r="AB1699" s="220" t="str">
        <f t="shared" si="242"/>
        <v/>
      </c>
    </row>
    <row r="1700" spans="1:28" s="219" customFormat="1" ht="20.25">
      <c r="A1700" s="174"/>
      <c r="B1700" s="175" t="str">
        <f>IF(LEN(A1700)=0,"",INDEX('Smelter Look-up'!$A:$A,MATCH($A1700,'Smelter Look-up'!$E:$E,0)))</f>
        <v/>
      </c>
      <c r="C1700" s="179" t="str">
        <f>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40"/>
        <v/>
      </c>
      <c r="T1700" s="174" t="str">
        <f ca="1">IF(B1700="","",IF(ISERROR(MATCH($J1700,SorP!$B$1:$B$6279,0)),"",INDIRECT("'SorP'!$A$"&amp;MATCH($S1700&amp;$J1700,SorP!C:C,0))))</f>
        <v/>
      </c>
      <c r="U1700" s="194"/>
      <c r="V1700" s="218" t="e">
        <f>IF(C1700="",NA(),IF(OR(C1700="Smelter not listed",C1700="Smelter not yet identified"),MATCH($B1700&amp;$D1700,'Smelter Look-up'!$J:$J,0),MATCH($B1700&amp;$C1700,'Smelter Look-up'!$J:$J,0)))</f>
        <v>#N/A</v>
      </c>
      <c r="X1700" s="219">
        <f t="shared" ca="1" si="241"/>
        <v>0</v>
      </c>
      <c r="AB1700" s="220" t="str">
        <f t="shared" si="242"/>
        <v/>
      </c>
    </row>
    <row r="1701" spans="1:28" s="219" customFormat="1" ht="20.25">
      <c r="A1701" s="174"/>
      <c r="B1701" s="175" t="str">
        <f>IF(LEN(A1701)=0,"",INDEX('Smelter Look-up'!$A:$A,MATCH($A1701,'Smelter Look-up'!$E:$E,0)))</f>
        <v/>
      </c>
      <c r="C1701" s="179" t="str">
        <f>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40"/>
        <v/>
      </c>
      <c r="T1701" s="174" t="str">
        <f ca="1">IF(B1701="","",IF(ISERROR(MATCH($J1701,SorP!$B$1:$B$6279,0)),"",INDIRECT("'SorP'!$A$"&amp;MATCH($S1701&amp;$J1701,SorP!C:C,0))))</f>
        <v/>
      </c>
      <c r="U1701" s="194"/>
      <c r="V1701" s="218" t="e">
        <f>IF(C1701="",NA(),IF(OR(C1701="Smelter not listed",C1701="Smelter not yet identified"),MATCH($B1701&amp;$D1701,'Smelter Look-up'!$J:$J,0),MATCH($B1701&amp;$C1701,'Smelter Look-up'!$J:$J,0)))</f>
        <v>#N/A</v>
      </c>
      <c r="X1701" s="219">
        <f t="shared" ca="1" si="241"/>
        <v>0</v>
      </c>
      <c r="AB1701" s="220" t="str">
        <f t="shared" si="242"/>
        <v/>
      </c>
    </row>
    <row r="1702" spans="1:28" s="219" customFormat="1" ht="20.25">
      <c r="A1702" s="174"/>
      <c r="B1702" s="175" t="str">
        <f>IF(LEN(A1702)=0,"",INDEX('Smelter Look-up'!$A:$A,MATCH($A1702,'Smelter Look-up'!$E:$E,0)))</f>
        <v/>
      </c>
      <c r="C1702" s="179" t="str">
        <f>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40"/>
        <v/>
      </c>
      <c r="T1702" s="174" t="str">
        <f ca="1">IF(B1702="","",IF(ISERROR(MATCH($J1702,SorP!$B$1:$B$6279,0)),"",INDIRECT("'SorP'!$A$"&amp;MATCH($S1702&amp;$J1702,SorP!C:C,0))))</f>
        <v/>
      </c>
      <c r="U1702" s="194"/>
      <c r="V1702" s="218" t="e">
        <f>IF(C1702="",NA(),IF(OR(C1702="Smelter not listed",C1702="Smelter not yet identified"),MATCH($B1702&amp;$D1702,'Smelter Look-up'!$J:$J,0),MATCH($B1702&amp;$C1702,'Smelter Look-up'!$J:$J,0)))</f>
        <v>#N/A</v>
      </c>
      <c r="X1702" s="219">
        <f t="shared" ca="1" si="241"/>
        <v>0</v>
      </c>
      <c r="AB1702" s="220" t="str">
        <f t="shared" si="242"/>
        <v/>
      </c>
    </row>
    <row r="1703" spans="1:28" s="219" customFormat="1" ht="20.25">
      <c r="A1703" s="174"/>
      <c r="B1703" s="175" t="str">
        <f>IF(LEN(A1703)=0,"",INDEX('Smelter Look-up'!$A:$A,MATCH($A1703,'Smelter Look-up'!$E:$E,0)))</f>
        <v/>
      </c>
      <c r="C1703" s="179" t="str">
        <f>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40"/>
        <v/>
      </c>
      <c r="T1703" s="174" t="str">
        <f ca="1">IF(B1703="","",IF(ISERROR(MATCH($J1703,SorP!$B$1:$B$6279,0)),"",INDIRECT("'SorP'!$A$"&amp;MATCH($S1703&amp;$J1703,SorP!C:C,0))))</f>
        <v/>
      </c>
      <c r="U1703" s="194"/>
      <c r="V1703" s="218" t="e">
        <f>IF(C1703="",NA(),IF(OR(C1703="Smelter not listed",C1703="Smelter not yet identified"),MATCH($B1703&amp;$D1703,'Smelter Look-up'!$J:$J,0),MATCH($B1703&amp;$C1703,'Smelter Look-up'!$J:$J,0)))</f>
        <v>#N/A</v>
      </c>
      <c r="X1703" s="219">
        <f t="shared" ca="1" si="241"/>
        <v>0</v>
      </c>
      <c r="AB1703" s="220" t="str">
        <f t="shared" si="242"/>
        <v/>
      </c>
    </row>
    <row r="1704" spans="1:28" s="219" customFormat="1" ht="20.25">
      <c r="A1704" s="174"/>
      <c r="B1704" s="175" t="str">
        <f>IF(LEN(A1704)=0,"",INDEX('Smelter Look-up'!$A:$A,MATCH($A1704,'Smelter Look-up'!$E:$E,0)))</f>
        <v/>
      </c>
      <c r="C1704" s="179" t="str">
        <f>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40"/>
        <v/>
      </c>
      <c r="T1704" s="174" t="str">
        <f ca="1">IF(B1704="","",IF(ISERROR(MATCH($J1704,SorP!$B$1:$B$6279,0)),"",INDIRECT("'SorP'!$A$"&amp;MATCH($S1704&amp;$J1704,SorP!C:C,0))))</f>
        <v/>
      </c>
      <c r="U1704" s="194"/>
      <c r="V1704" s="218" t="e">
        <f>IF(C1704="",NA(),IF(OR(C1704="Smelter not listed",C1704="Smelter not yet identified"),MATCH($B1704&amp;$D1704,'Smelter Look-up'!$J:$J,0),MATCH($B1704&amp;$C1704,'Smelter Look-up'!$J:$J,0)))</f>
        <v>#N/A</v>
      </c>
      <c r="X1704" s="219">
        <f t="shared" ca="1" si="241"/>
        <v>0</v>
      </c>
      <c r="AB1704" s="220" t="str">
        <f t="shared" si="242"/>
        <v/>
      </c>
    </row>
    <row r="1705" spans="1:28" s="219" customFormat="1" ht="20.25">
      <c r="A1705" s="174"/>
      <c r="B1705" s="175" t="str">
        <f>IF(LEN(A1705)=0,"",INDEX('Smelter Look-up'!$A:$A,MATCH($A1705,'Smelter Look-up'!$E:$E,0)))</f>
        <v/>
      </c>
      <c r="C1705" s="179" t="str">
        <f>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40"/>
        <v/>
      </c>
      <c r="T1705" s="174" t="str">
        <f ca="1">IF(B1705="","",IF(ISERROR(MATCH($J1705,SorP!$B$1:$B$6279,0)),"",INDIRECT("'SorP'!$A$"&amp;MATCH($S1705&amp;$J1705,SorP!C:C,0))))</f>
        <v/>
      </c>
      <c r="U1705" s="194"/>
      <c r="V1705" s="218" t="e">
        <f>IF(C1705="",NA(),IF(OR(C1705="Smelter not listed",C1705="Smelter not yet identified"),MATCH($B1705&amp;$D1705,'Smelter Look-up'!$J:$J,0),MATCH($B1705&amp;$C1705,'Smelter Look-up'!$J:$J,0)))</f>
        <v>#N/A</v>
      </c>
      <c r="X1705" s="219">
        <f t="shared" ca="1" si="241"/>
        <v>0</v>
      </c>
      <c r="AB1705" s="220" t="str">
        <f t="shared" si="242"/>
        <v/>
      </c>
    </row>
    <row r="1706" spans="1:28" s="219" customFormat="1" ht="20.25">
      <c r="A1706" s="174"/>
      <c r="B1706" s="175" t="str">
        <f>IF(LEN(A1706)=0,"",INDEX('Smelter Look-up'!$A:$A,MATCH($A1706,'Smelter Look-up'!$E:$E,0)))</f>
        <v/>
      </c>
      <c r="C1706" s="179" t="str">
        <f>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40"/>
        <v/>
      </c>
      <c r="T1706" s="174" t="str">
        <f ca="1">IF(B1706="","",IF(ISERROR(MATCH($J1706,SorP!$B$1:$B$6279,0)),"",INDIRECT("'SorP'!$A$"&amp;MATCH($S1706&amp;$J1706,SorP!C:C,0))))</f>
        <v/>
      </c>
      <c r="U1706" s="194"/>
      <c r="V1706" s="218" t="e">
        <f>IF(C1706="",NA(),IF(OR(C1706="Smelter not listed",C1706="Smelter not yet identified"),MATCH($B1706&amp;$D1706,'Smelter Look-up'!$J:$J,0),MATCH($B1706&amp;$C1706,'Smelter Look-up'!$J:$J,0)))</f>
        <v>#N/A</v>
      </c>
      <c r="X1706" s="219">
        <f t="shared" ca="1" si="241"/>
        <v>0</v>
      </c>
      <c r="AB1706" s="220" t="str">
        <f t="shared" si="242"/>
        <v/>
      </c>
    </row>
    <row r="1707" spans="1:28" s="219" customFormat="1" ht="20.25">
      <c r="A1707" s="174"/>
      <c r="B1707" s="175" t="str">
        <f>IF(LEN(A1707)=0,"",INDEX('Smelter Look-up'!$A:$A,MATCH($A1707,'Smelter Look-up'!$E:$E,0)))</f>
        <v/>
      </c>
      <c r="C1707" s="179" t="str">
        <f>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40"/>
        <v/>
      </c>
      <c r="T1707" s="174" t="str">
        <f ca="1">IF(B1707="","",IF(ISERROR(MATCH($J1707,SorP!$B$1:$B$6279,0)),"",INDIRECT("'SorP'!$A$"&amp;MATCH($S1707&amp;$J1707,SorP!C:C,0))))</f>
        <v/>
      </c>
      <c r="U1707" s="194"/>
      <c r="V1707" s="218" t="e">
        <f>IF(C1707="",NA(),IF(OR(C1707="Smelter not listed",C1707="Smelter not yet identified"),MATCH($B1707&amp;$D1707,'Smelter Look-up'!$J:$J,0),MATCH($B1707&amp;$C1707,'Smelter Look-up'!$J:$J,0)))</f>
        <v>#N/A</v>
      </c>
      <c r="X1707" s="219">
        <f t="shared" ca="1" si="241"/>
        <v>0</v>
      </c>
      <c r="AB1707" s="220" t="str">
        <f t="shared" si="242"/>
        <v/>
      </c>
    </row>
    <row r="1708" spans="1:28" s="219" customFormat="1" ht="20.25">
      <c r="A1708" s="174"/>
      <c r="B1708" s="175" t="str">
        <f>IF(LEN(A1708)=0,"",INDEX('Smelter Look-up'!$A:$A,MATCH($A1708,'Smelter Look-up'!$E:$E,0)))</f>
        <v/>
      </c>
      <c r="C1708" s="179" t="str">
        <f>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40"/>
        <v/>
      </c>
      <c r="T1708" s="174" t="str">
        <f ca="1">IF(B1708="","",IF(ISERROR(MATCH($J1708,SorP!$B$1:$B$6279,0)),"",INDIRECT("'SorP'!$A$"&amp;MATCH($S1708&amp;$J1708,SorP!C:C,0))))</f>
        <v/>
      </c>
      <c r="U1708" s="194"/>
      <c r="V1708" s="218" t="e">
        <f>IF(C1708="",NA(),IF(OR(C1708="Smelter not listed",C1708="Smelter not yet identified"),MATCH($B1708&amp;$D1708,'Smelter Look-up'!$J:$J,0),MATCH($B1708&amp;$C1708,'Smelter Look-up'!$J:$J,0)))</f>
        <v>#N/A</v>
      </c>
      <c r="X1708" s="219">
        <f t="shared" ca="1" si="241"/>
        <v>0</v>
      </c>
      <c r="AB1708" s="220" t="str">
        <f t="shared" si="242"/>
        <v/>
      </c>
    </row>
    <row r="1709" spans="1:28" s="219" customFormat="1" ht="20.25">
      <c r="A1709" s="174"/>
      <c r="B1709" s="175" t="str">
        <f>IF(LEN(A1709)=0,"",INDEX('Smelter Look-up'!$A:$A,MATCH($A1709,'Smelter Look-up'!$E:$E,0)))</f>
        <v/>
      </c>
      <c r="C1709" s="179" t="str">
        <f>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40"/>
        <v/>
      </c>
      <c r="T1709" s="174" t="str">
        <f ca="1">IF(B1709="","",IF(ISERROR(MATCH($J1709,SorP!$B$1:$B$6279,0)),"",INDIRECT("'SorP'!$A$"&amp;MATCH($S1709&amp;$J1709,SorP!C:C,0))))</f>
        <v/>
      </c>
      <c r="U1709" s="194"/>
      <c r="V1709" s="218" t="e">
        <f>IF(C1709="",NA(),IF(OR(C1709="Smelter not listed",C1709="Smelter not yet identified"),MATCH($B1709&amp;$D1709,'Smelter Look-up'!$J:$J,0),MATCH($B1709&amp;$C1709,'Smelter Look-up'!$J:$J,0)))</f>
        <v>#N/A</v>
      </c>
      <c r="X1709" s="219">
        <f t="shared" ca="1" si="241"/>
        <v>0</v>
      </c>
      <c r="AB1709" s="220" t="str">
        <f t="shared" si="242"/>
        <v/>
      </c>
    </row>
    <row r="1710" spans="1:28" s="219" customFormat="1" ht="20.25">
      <c r="A1710" s="174"/>
      <c r="B1710" s="175" t="str">
        <f>IF(LEN(A1710)=0,"",INDEX('Smelter Look-up'!$A:$A,MATCH($A1710,'Smelter Look-up'!$E:$E,0)))</f>
        <v/>
      </c>
      <c r="C1710" s="179" t="str">
        <f>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40"/>
        <v/>
      </c>
      <c r="T1710" s="174" t="str">
        <f ca="1">IF(B1710="","",IF(ISERROR(MATCH($J1710,SorP!$B$1:$B$6279,0)),"",INDIRECT("'SorP'!$A$"&amp;MATCH($S1710&amp;$J1710,SorP!C:C,0))))</f>
        <v/>
      </c>
      <c r="U1710" s="194"/>
      <c r="V1710" s="218" t="e">
        <f>IF(C1710="",NA(),IF(OR(C1710="Smelter not listed",C1710="Smelter not yet identified"),MATCH($B1710&amp;$D1710,'Smelter Look-up'!$J:$J,0),MATCH($B1710&amp;$C1710,'Smelter Look-up'!$J:$J,0)))</f>
        <v>#N/A</v>
      </c>
      <c r="X1710" s="219">
        <f t="shared" ca="1" si="241"/>
        <v>0</v>
      </c>
      <c r="AB1710" s="220" t="str">
        <f t="shared" si="242"/>
        <v/>
      </c>
    </row>
    <row r="1711" spans="1:28" s="219" customFormat="1" ht="20.25">
      <c r="A1711" s="174"/>
      <c r="B1711" s="175" t="str">
        <f>IF(LEN(A1711)=0,"",INDEX('Smelter Look-up'!$A:$A,MATCH($A1711,'Smelter Look-up'!$E:$E,0)))</f>
        <v/>
      </c>
      <c r="C1711" s="179" t="str">
        <f>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40"/>
        <v/>
      </c>
      <c r="T1711" s="174" t="str">
        <f ca="1">IF(B1711="","",IF(ISERROR(MATCH($J1711,SorP!$B$1:$B$6279,0)),"",INDIRECT("'SorP'!$A$"&amp;MATCH($S1711&amp;$J1711,SorP!C:C,0))))</f>
        <v/>
      </c>
      <c r="U1711" s="194"/>
      <c r="V1711" s="218" t="e">
        <f>IF(C1711="",NA(),IF(OR(C1711="Smelter not listed",C1711="Smelter not yet identified"),MATCH($B1711&amp;$D1711,'Smelter Look-up'!$J:$J,0),MATCH($B1711&amp;$C1711,'Smelter Look-up'!$J:$J,0)))</f>
        <v>#N/A</v>
      </c>
      <c r="X1711" s="219">
        <f t="shared" ca="1" si="241"/>
        <v>0</v>
      </c>
      <c r="AB1711" s="220" t="str">
        <f t="shared" si="242"/>
        <v/>
      </c>
    </row>
    <row r="1712" spans="1:28" s="219" customFormat="1" ht="20.25">
      <c r="A1712" s="174"/>
      <c r="B1712" s="175" t="str">
        <f>IF(LEN(A1712)=0,"",INDEX('Smelter Look-up'!$A:$A,MATCH($A1712,'Smelter Look-up'!$E:$E,0)))</f>
        <v/>
      </c>
      <c r="C1712" s="179" t="str">
        <f>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40"/>
        <v/>
      </c>
      <c r="T1712" s="174" t="str">
        <f ca="1">IF(B1712="","",IF(ISERROR(MATCH($J1712,SorP!$B$1:$B$6279,0)),"",INDIRECT("'SorP'!$A$"&amp;MATCH($S1712&amp;$J1712,SorP!C:C,0))))</f>
        <v/>
      </c>
      <c r="U1712" s="194"/>
      <c r="V1712" s="218" t="e">
        <f>IF(C1712="",NA(),IF(OR(C1712="Smelter not listed",C1712="Smelter not yet identified"),MATCH($B1712&amp;$D1712,'Smelter Look-up'!$J:$J,0),MATCH($B1712&amp;$C1712,'Smelter Look-up'!$J:$J,0)))</f>
        <v>#N/A</v>
      </c>
      <c r="X1712" s="219">
        <f t="shared" ca="1" si="241"/>
        <v>0</v>
      </c>
      <c r="AB1712" s="220" t="str">
        <f t="shared" si="242"/>
        <v/>
      </c>
    </row>
    <row r="1713" spans="1:28" s="219" customFormat="1" ht="20.25">
      <c r="A1713" s="174"/>
      <c r="B1713" s="175" t="str">
        <f>IF(LEN(A1713)=0,"",INDEX('Smelter Look-up'!$A:$A,MATCH($A1713,'Smelter Look-up'!$E:$E,0)))</f>
        <v/>
      </c>
      <c r="C1713" s="179" t="str">
        <f>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40"/>
        <v/>
      </c>
      <c r="T1713" s="174" t="str">
        <f ca="1">IF(B1713="","",IF(ISERROR(MATCH($J1713,SorP!$B$1:$B$6279,0)),"",INDIRECT("'SorP'!$A$"&amp;MATCH($S1713&amp;$J1713,SorP!C:C,0))))</f>
        <v/>
      </c>
      <c r="U1713" s="194"/>
      <c r="V1713" s="218" t="e">
        <f>IF(C1713="",NA(),IF(OR(C1713="Smelter not listed",C1713="Smelter not yet identified"),MATCH($B1713&amp;$D1713,'Smelter Look-up'!$J:$J,0),MATCH($B1713&amp;$C1713,'Smelter Look-up'!$J:$J,0)))</f>
        <v>#N/A</v>
      </c>
      <c r="X1713" s="219">
        <f t="shared" ca="1" si="241"/>
        <v>0</v>
      </c>
      <c r="AB1713" s="220" t="str">
        <f t="shared" si="242"/>
        <v/>
      </c>
    </row>
    <row r="1714" spans="1:28" s="219" customFormat="1" ht="20.25">
      <c r="A1714" s="174"/>
      <c r="B1714" s="175" t="str">
        <f>IF(LEN(A1714)=0,"",INDEX('Smelter Look-up'!$A:$A,MATCH($A1714,'Smelter Look-up'!$E:$E,0)))</f>
        <v/>
      </c>
      <c r="C1714" s="179" t="str">
        <f>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40"/>
        <v/>
      </c>
      <c r="T1714" s="174" t="str">
        <f ca="1">IF(B1714="","",IF(ISERROR(MATCH($J1714,SorP!$B$1:$B$6279,0)),"",INDIRECT("'SorP'!$A$"&amp;MATCH($S1714&amp;$J1714,SorP!C:C,0))))</f>
        <v/>
      </c>
      <c r="U1714" s="194"/>
      <c r="V1714" s="218" t="e">
        <f>IF(C1714="",NA(),IF(OR(C1714="Smelter not listed",C1714="Smelter not yet identified"),MATCH($B1714&amp;$D1714,'Smelter Look-up'!$J:$J,0),MATCH($B1714&amp;$C1714,'Smelter Look-up'!$J:$J,0)))</f>
        <v>#N/A</v>
      </c>
      <c r="X1714" s="219">
        <f t="shared" ca="1" si="241"/>
        <v>0</v>
      </c>
      <c r="AB1714" s="220" t="str">
        <f t="shared" si="242"/>
        <v/>
      </c>
    </row>
    <row r="1715" spans="1:28" s="219" customFormat="1" ht="20.25">
      <c r="A1715" s="174"/>
      <c r="B1715" s="175" t="str">
        <f>IF(LEN(A1715)=0,"",INDEX('Smelter Look-up'!$A:$A,MATCH($A1715,'Smelter Look-up'!$E:$E,0)))</f>
        <v/>
      </c>
      <c r="C1715" s="179" t="str">
        <f>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240"/>
        <v/>
      </c>
      <c r="T1715" s="174" t="str">
        <f ca="1">IF(B1715="","",IF(ISERROR(MATCH($J1715,SorP!$B$1:$B$6279,0)),"",INDIRECT("'SorP'!$A$"&amp;MATCH($S1715&amp;$J1715,SorP!C:C,0))))</f>
        <v/>
      </c>
      <c r="U1715" s="194"/>
      <c r="V1715" s="218" t="e">
        <f>IF(C1715="",NA(),IF(OR(C1715="Smelter not listed",C1715="Smelter not yet identified"),MATCH($B1715&amp;$D1715,'Smelter Look-up'!$J:$J,0),MATCH($B1715&amp;$C1715,'Smelter Look-up'!$J:$J,0)))</f>
        <v>#N/A</v>
      </c>
      <c r="X1715" s="219">
        <f t="shared" ca="1" si="241"/>
        <v>0</v>
      </c>
      <c r="AB1715" s="220" t="str">
        <f t="shared" si="242"/>
        <v/>
      </c>
    </row>
    <row r="1716" spans="1:28" s="219" customFormat="1" ht="20.25">
      <c r="A1716" s="174"/>
      <c r="B1716" s="175" t="str">
        <f>IF(LEN(A1716)=0,"",INDEX('Smelter Look-up'!$A:$A,MATCH($A1716,'Smelter Look-up'!$E:$E,0)))</f>
        <v/>
      </c>
      <c r="C1716" s="179" t="str">
        <f>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40"/>
        <v/>
      </c>
      <c r="T1716" s="174" t="str">
        <f ca="1">IF(B1716="","",IF(ISERROR(MATCH($J1716,SorP!$B$1:$B$6279,0)),"",INDIRECT("'SorP'!$A$"&amp;MATCH($S1716&amp;$J1716,SorP!C:C,0))))</f>
        <v/>
      </c>
      <c r="U1716" s="194"/>
      <c r="V1716" s="218" t="e">
        <f>IF(C1716="",NA(),IF(OR(C1716="Smelter not listed",C1716="Smelter not yet identified"),MATCH($B1716&amp;$D1716,'Smelter Look-up'!$J:$J,0),MATCH($B1716&amp;$C1716,'Smelter Look-up'!$J:$J,0)))</f>
        <v>#N/A</v>
      </c>
      <c r="X1716" s="219">
        <f t="shared" ca="1" si="241"/>
        <v>0</v>
      </c>
      <c r="AB1716" s="220" t="str">
        <f t="shared" si="242"/>
        <v/>
      </c>
    </row>
    <row r="1717" spans="1:28" s="219" customFormat="1" ht="20.25">
      <c r="A1717" s="174"/>
      <c r="B1717" s="175" t="str">
        <f>IF(LEN(A1717)=0,"",INDEX('Smelter Look-up'!$A:$A,MATCH($A1717,'Smelter Look-up'!$E:$E,0)))</f>
        <v/>
      </c>
      <c r="C1717" s="179" t="str">
        <f>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40"/>
        <v/>
      </c>
      <c r="T1717" s="174" t="str">
        <f ca="1">IF(B1717="","",IF(ISERROR(MATCH($J1717,SorP!$B$1:$B$6279,0)),"",INDIRECT("'SorP'!$A$"&amp;MATCH($S1717&amp;$J1717,SorP!C:C,0))))</f>
        <v/>
      </c>
      <c r="U1717" s="194"/>
      <c r="V1717" s="218" t="e">
        <f>IF(C1717="",NA(),IF(OR(C1717="Smelter not listed",C1717="Smelter not yet identified"),MATCH($B1717&amp;$D1717,'Smelter Look-up'!$J:$J,0),MATCH($B1717&amp;$C1717,'Smelter Look-up'!$J:$J,0)))</f>
        <v>#N/A</v>
      </c>
      <c r="X1717" s="219">
        <f t="shared" ca="1" si="241"/>
        <v>0</v>
      </c>
      <c r="AB1717" s="220" t="str">
        <f t="shared" si="242"/>
        <v/>
      </c>
    </row>
    <row r="1718" spans="1:28" s="219" customFormat="1" ht="20.25">
      <c r="A1718" s="174"/>
      <c r="B1718" s="175" t="str">
        <f>IF(LEN(A1718)=0,"",INDEX('Smelter Look-up'!$A:$A,MATCH($A1718,'Smelter Look-up'!$E:$E,0)))</f>
        <v/>
      </c>
      <c r="C1718" s="179" t="str">
        <f>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40"/>
        <v/>
      </c>
      <c r="T1718" s="174" t="str">
        <f ca="1">IF(B1718="","",IF(ISERROR(MATCH($J1718,SorP!$B$1:$B$6279,0)),"",INDIRECT("'SorP'!$A$"&amp;MATCH($S1718&amp;$J1718,SorP!C:C,0))))</f>
        <v/>
      </c>
      <c r="U1718" s="194"/>
      <c r="V1718" s="218" t="e">
        <f>IF(C1718="",NA(),IF(OR(C1718="Smelter not listed",C1718="Smelter not yet identified"),MATCH($B1718&amp;$D1718,'Smelter Look-up'!$J:$J,0),MATCH($B1718&amp;$C1718,'Smelter Look-up'!$J:$J,0)))</f>
        <v>#N/A</v>
      </c>
      <c r="X1718" s="219">
        <f t="shared" ca="1" si="241"/>
        <v>0</v>
      </c>
      <c r="AB1718" s="220" t="str">
        <f t="shared" si="242"/>
        <v/>
      </c>
    </row>
    <row r="1719" spans="1:28" s="219" customFormat="1" ht="20.25">
      <c r="A1719" s="174"/>
      <c r="B1719" s="175" t="str">
        <f>IF(LEN(A1719)=0,"",INDEX('Smelter Look-up'!$A:$A,MATCH($A1719,'Smelter Look-up'!$E:$E,0)))</f>
        <v/>
      </c>
      <c r="C1719" s="179" t="str">
        <f>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40"/>
        <v/>
      </c>
      <c r="T1719" s="174" t="str">
        <f ca="1">IF(B1719="","",IF(ISERROR(MATCH($J1719,SorP!$B$1:$B$6279,0)),"",INDIRECT("'SorP'!$A$"&amp;MATCH($S1719&amp;$J1719,SorP!C:C,0))))</f>
        <v/>
      </c>
      <c r="U1719" s="194"/>
      <c r="V1719" s="218" t="e">
        <f>IF(C1719="",NA(),IF(OR(C1719="Smelter not listed",C1719="Smelter not yet identified"),MATCH($B1719&amp;$D1719,'Smelter Look-up'!$J:$J,0),MATCH($B1719&amp;$C1719,'Smelter Look-up'!$J:$J,0)))</f>
        <v>#N/A</v>
      </c>
      <c r="X1719" s="219">
        <f t="shared" ca="1" si="241"/>
        <v>0</v>
      </c>
      <c r="AB1719" s="220" t="str">
        <f t="shared" si="242"/>
        <v/>
      </c>
    </row>
    <row r="1720" spans="1:28" s="219" customFormat="1" ht="20.25">
      <c r="A1720" s="174"/>
      <c r="B1720" s="175" t="str">
        <f>IF(LEN(A1720)=0,"",INDEX('Smelter Look-up'!$A:$A,MATCH($A1720,'Smelter Look-up'!$E:$E,0)))</f>
        <v/>
      </c>
      <c r="C1720" s="179" t="str">
        <f>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40"/>
        <v/>
      </c>
      <c r="T1720" s="174" t="str">
        <f ca="1">IF(B1720="","",IF(ISERROR(MATCH($J1720,SorP!$B$1:$B$6279,0)),"",INDIRECT("'SorP'!$A$"&amp;MATCH($S1720&amp;$J1720,SorP!C:C,0))))</f>
        <v/>
      </c>
      <c r="U1720" s="194"/>
      <c r="V1720" s="218" t="e">
        <f>IF(C1720="",NA(),IF(OR(C1720="Smelter not listed",C1720="Smelter not yet identified"),MATCH($B1720&amp;$D1720,'Smelter Look-up'!$J:$J,0),MATCH($B1720&amp;$C1720,'Smelter Look-up'!$J:$J,0)))</f>
        <v>#N/A</v>
      </c>
      <c r="X1720" s="219">
        <f t="shared" ca="1" si="241"/>
        <v>0</v>
      </c>
      <c r="AB1720" s="220" t="str">
        <f t="shared" si="242"/>
        <v/>
      </c>
    </row>
    <row r="1721" spans="1:28" s="219" customFormat="1" ht="20.25">
      <c r="A1721" s="174"/>
      <c r="B1721" s="175" t="str">
        <f>IF(LEN(A1721)=0,"",INDEX('Smelter Look-up'!$A:$A,MATCH($A1721,'Smelter Look-up'!$E:$E,0)))</f>
        <v/>
      </c>
      <c r="C1721" s="179" t="str">
        <f>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240"/>
        <v/>
      </c>
      <c r="T1721" s="174" t="str">
        <f ca="1">IF(B1721="","",IF(ISERROR(MATCH($J1721,SorP!$B$1:$B$6279,0)),"",INDIRECT("'SorP'!$A$"&amp;MATCH($S1721&amp;$J1721,SorP!C:C,0))))</f>
        <v/>
      </c>
      <c r="U1721" s="194"/>
      <c r="V1721" s="218" t="e">
        <f>IF(C1721="",NA(),IF(OR(C1721="Smelter not listed",C1721="Smelter not yet identified"),MATCH($B1721&amp;$D1721,'Smelter Look-up'!$J:$J,0),MATCH($B1721&amp;$C1721,'Smelter Look-up'!$J:$J,0)))</f>
        <v>#N/A</v>
      </c>
      <c r="X1721" s="219">
        <f t="shared" ca="1" si="241"/>
        <v>0</v>
      </c>
      <c r="AB1721" s="220" t="str">
        <f t="shared" si="242"/>
        <v/>
      </c>
    </row>
    <row r="1722" spans="1:28" s="219" customFormat="1" ht="20.25">
      <c r="A1722" s="174"/>
      <c r="B1722" s="175" t="str">
        <f>IF(LEN(A1722)=0,"",INDEX('Smelter Look-up'!$A:$A,MATCH($A1722,'Smelter Look-up'!$E:$E,0)))</f>
        <v/>
      </c>
      <c r="C1722" s="179" t="str">
        <f>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ca="1" si="240"/>
        <v/>
      </c>
      <c r="T1722" s="174" t="str">
        <f ca="1">IF(B1722="","",IF(ISERROR(MATCH($J1722,SorP!$B$1:$B$6279,0)),"",INDIRECT("'SorP'!$A$"&amp;MATCH($S1722&amp;$J1722,SorP!C:C,0))))</f>
        <v/>
      </c>
      <c r="U1722" s="194"/>
      <c r="V1722" s="218" t="e">
        <f>IF(C1722="",NA(),IF(OR(C1722="Smelter not listed",C1722="Smelter not yet identified"),MATCH($B1722&amp;$D1722,'Smelter Look-up'!$J:$J,0),MATCH($B1722&amp;$C1722,'Smelter Look-up'!$J:$J,0)))</f>
        <v>#N/A</v>
      </c>
      <c r="X1722" s="219">
        <f t="shared" ca="1" si="241"/>
        <v>0</v>
      </c>
      <c r="AB1722" s="220" t="str">
        <f t="shared" si="242"/>
        <v/>
      </c>
    </row>
    <row r="1723" spans="1:28" s="219" customFormat="1" ht="20.25">
      <c r="A1723" s="174"/>
      <c r="B1723" s="175" t="str">
        <f>IF(LEN(A1723)=0,"",INDEX('Smelter Look-up'!$A:$A,MATCH($A1723,'Smelter Look-up'!$E:$E,0)))</f>
        <v/>
      </c>
      <c r="C1723" s="179" t="str">
        <f>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ref="S1723" ca="1" si="243">IF(B1723="","",IF(ISERROR(MATCH($E1723,CL,0)),"Unknown",INDIRECT("'C'!$A$"&amp;MATCH($E1723,CL,0)+1)))</f>
        <v/>
      </c>
      <c r="T1723" s="174" t="str">
        <f ca="1">IF(B1723="","",IF(ISERROR(MATCH($J1723,SorP!$B$1:$B$6279,0)),"",INDIRECT("'SorP'!$A$"&amp;MATCH($S1723&amp;$J1723,SorP!C:C,0))))</f>
        <v/>
      </c>
      <c r="U1723" s="194"/>
      <c r="V1723" s="218" t="e">
        <f>IF(C1723="",NA(),IF(OR(C1723="Smelter not listed",C1723="Smelter not yet identified"),MATCH($B1723&amp;$D1723,'Smelter Look-up'!$J:$J,0),MATCH($B1723&amp;$C1723,'Smelter Look-up'!$J:$J,0)))</f>
        <v>#N/A</v>
      </c>
      <c r="X1723" s="219">
        <f t="shared" ref="X1723" ca="1" si="244">IF(AND(C1723="Smelter not listed",OR(LEN(D1723)=0,LEN(E1723)=0)),1,0)</f>
        <v>0</v>
      </c>
      <c r="AB1723" s="220" t="str">
        <f t="shared" ref="AB1723" si="245">B1723&amp;C1723</f>
        <v/>
      </c>
    </row>
    <row r="1724" spans="1:28" s="219" customFormat="1" ht="20.25">
      <c r="A1724" s="174"/>
      <c r="B1724" s="175" t="str">
        <f>IF(LEN(A1724)=0,"",INDEX('Smelter Look-up'!$A:$A,MATCH($A1724,'Smelter Look-up'!$E:$E,0)))</f>
        <v/>
      </c>
      <c r="C1724" s="179" t="str">
        <f>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ref="S1724:S1755" ca="1" si="246">IF(B1724="","",IF(ISERROR(MATCH($E1724,CL,0)),"Unknown",INDIRECT("'C'!$A$"&amp;MATCH($E1724,CL,0)+1)))</f>
        <v/>
      </c>
      <c r="T1724" s="174" t="str">
        <f ca="1">IF(B1724="","",IF(ISERROR(MATCH($J1724,SorP!$B$1:$B$6279,0)),"",INDIRECT("'SorP'!$A$"&amp;MATCH($S1724&amp;$J1724,SorP!C:C,0))))</f>
        <v/>
      </c>
      <c r="U1724" s="194"/>
      <c r="V1724" s="218" t="e">
        <f>IF(C1724="",NA(),IF(OR(C1724="Smelter not listed",C1724="Smelter not yet identified"),MATCH($B1724&amp;$D1724,'Smelter Look-up'!$J:$J,0),MATCH($B1724&amp;$C1724,'Smelter Look-up'!$J:$J,0)))</f>
        <v>#N/A</v>
      </c>
      <c r="X1724" s="219">
        <f t="shared" ref="X1724:X1755" ca="1" si="247">IF(AND(C1724="Smelter not listed",OR(LEN(D1724)=0,LEN(E1724)=0)),1,0)</f>
        <v>0</v>
      </c>
      <c r="AB1724" s="220" t="str">
        <f t="shared" ref="AB1724:AB1755" si="248">B1724&amp;C1724</f>
        <v/>
      </c>
    </row>
    <row r="1725" spans="1:28" s="219" customFormat="1" ht="20.25">
      <c r="A1725" s="174"/>
      <c r="B1725" s="175" t="str">
        <f>IF(LEN(A1725)=0,"",INDEX('Smelter Look-up'!$A:$A,MATCH($A1725,'Smelter Look-up'!$E:$E,0)))</f>
        <v/>
      </c>
      <c r="C1725" s="179" t="str">
        <f>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46"/>
        <v/>
      </c>
      <c r="T1725" s="174" t="str">
        <f ca="1">IF(B1725="","",IF(ISERROR(MATCH($J1725,SorP!$B$1:$B$6279,0)),"",INDIRECT("'SorP'!$A$"&amp;MATCH($S1725&amp;$J1725,SorP!C:C,0))))</f>
        <v/>
      </c>
      <c r="U1725" s="194"/>
      <c r="V1725" s="218" t="e">
        <f>IF(C1725="",NA(),IF(OR(C1725="Smelter not listed",C1725="Smelter not yet identified"),MATCH($B1725&amp;$D1725,'Smelter Look-up'!$J:$J,0),MATCH($B1725&amp;$C1725,'Smelter Look-up'!$J:$J,0)))</f>
        <v>#N/A</v>
      </c>
      <c r="X1725" s="219">
        <f t="shared" ca="1" si="247"/>
        <v>0</v>
      </c>
      <c r="AB1725" s="220" t="str">
        <f t="shared" si="248"/>
        <v/>
      </c>
    </row>
    <row r="1726" spans="1:28" s="219" customFormat="1" ht="20.25">
      <c r="A1726" s="174"/>
      <c r="B1726" s="175" t="str">
        <f>IF(LEN(A1726)=0,"",INDEX('Smelter Look-up'!$A:$A,MATCH($A1726,'Smelter Look-up'!$E:$E,0)))</f>
        <v/>
      </c>
      <c r="C1726" s="179" t="str">
        <f>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46"/>
        <v/>
      </c>
      <c r="T1726" s="174" t="str">
        <f ca="1">IF(B1726="","",IF(ISERROR(MATCH($J1726,SorP!$B$1:$B$6279,0)),"",INDIRECT("'SorP'!$A$"&amp;MATCH($S1726&amp;$J1726,SorP!C:C,0))))</f>
        <v/>
      </c>
      <c r="U1726" s="194"/>
      <c r="V1726" s="218" t="e">
        <f>IF(C1726="",NA(),IF(OR(C1726="Smelter not listed",C1726="Smelter not yet identified"),MATCH($B1726&amp;$D1726,'Smelter Look-up'!$J:$J,0),MATCH($B1726&amp;$C1726,'Smelter Look-up'!$J:$J,0)))</f>
        <v>#N/A</v>
      </c>
      <c r="X1726" s="219">
        <f t="shared" ca="1" si="247"/>
        <v>0</v>
      </c>
      <c r="AB1726" s="220" t="str">
        <f t="shared" si="248"/>
        <v/>
      </c>
    </row>
    <row r="1727" spans="1:28" s="219" customFormat="1" ht="20.25">
      <c r="A1727" s="174"/>
      <c r="B1727" s="175" t="str">
        <f>IF(LEN(A1727)=0,"",INDEX('Smelter Look-up'!$A:$A,MATCH($A1727,'Smelter Look-up'!$E:$E,0)))</f>
        <v/>
      </c>
      <c r="C1727" s="179" t="str">
        <f>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46"/>
        <v/>
      </c>
      <c r="T1727" s="174" t="str">
        <f ca="1">IF(B1727="","",IF(ISERROR(MATCH($J1727,SorP!$B$1:$B$6279,0)),"",INDIRECT("'SorP'!$A$"&amp;MATCH($S1727&amp;$J1727,SorP!C:C,0))))</f>
        <v/>
      </c>
      <c r="U1727" s="194"/>
      <c r="V1727" s="218" t="e">
        <f>IF(C1727="",NA(),IF(OR(C1727="Smelter not listed",C1727="Smelter not yet identified"),MATCH($B1727&amp;$D1727,'Smelter Look-up'!$J:$J,0),MATCH($B1727&amp;$C1727,'Smelter Look-up'!$J:$J,0)))</f>
        <v>#N/A</v>
      </c>
      <c r="X1727" s="219">
        <f t="shared" ca="1" si="247"/>
        <v>0</v>
      </c>
      <c r="AB1727" s="220" t="str">
        <f t="shared" si="248"/>
        <v/>
      </c>
    </row>
    <row r="1728" spans="1:28" s="219" customFormat="1" ht="20.25">
      <c r="A1728" s="174"/>
      <c r="B1728" s="175" t="str">
        <f>IF(LEN(A1728)=0,"",INDEX('Smelter Look-up'!$A:$A,MATCH($A1728,'Smelter Look-up'!$E:$E,0)))</f>
        <v/>
      </c>
      <c r="C1728" s="179" t="str">
        <f>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46"/>
        <v/>
      </c>
      <c r="T1728" s="174" t="str">
        <f ca="1">IF(B1728="","",IF(ISERROR(MATCH($J1728,SorP!$B$1:$B$6279,0)),"",INDIRECT("'SorP'!$A$"&amp;MATCH($S1728&amp;$J1728,SorP!C:C,0))))</f>
        <v/>
      </c>
      <c r="U1728" s="194"/>
      <c r="V1728" s="218" t="e">
        <f>IF(C1728="",NA(),IF(OR(C1728="Smelter not listed",C1728="Smelter not yet identified"),MATCH($B1728&amp;$D1728,'Smelter Look-up'!$J:$J,0),MATCH($B1728&amp;$C1728,'Smelter Look-up'!$J:$J,0)))</f>
        <v>#N/A</v>
      </c>
      <c r="X1728" s="219">
        <f t="shared" ca="1" si="247"/>
        <v>0</v>
      </c>
      <c r="AB1728" s="220" t="str">
        <f t="shared" si="248"/>
        <v/>
      </c>
    </row>
    <row r="1729" spans="1:28" s="219" customFormat="1" ht="20.25">
      <c r="A1729" s="174"/>
      <c r="B1729" s="175" t="str">
        <f>IF(LEN(A1729)=0,"",INDEX('Smelter Look-up'!$A:$A,MATCH($A1729,'Smelter Look-up'!$E:$E,0)))</f>
        <v/>
      </c>
      <c r="C1729" s="179" t="str">
        <f>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46"/>
        <v/>
      </c>
      <c r="T1729" s="174" t="str">
        <f ca="1">IF(B1729="","",IF(ISERROR(MATCH($J1729,SorP!$B$1:$B$6279,0)),"",INDIRECT("'SorP'!$A$"&amp;MATCH($S1729&amp;$J1729,SorP!C:C,0))))</f>
        <v/>
      </c>
      <c r="U1729" s="194"/>
      <c r="V1729" s="218" t="e">
        <f>IF(C1729="",NA(),IF(OR(C1729="Smelter not listed",C1729="Smelter not yet identified"),MATCH($B1729&amp;$D1729,'Smelter Look-up'!$J:$J,0),MATCH($B1729&amp;$C1729,'Smelter Look-up'!$J:$J,0)))</f>
        <v>#N/A</v>
      </c>
      <c r="X1729" s="219">
        <f t="shared" ca="1" si="247"/>
        <v>0</v>
      </c>
      <c r="AB1729" s="220" t="str">
        <f t="shared" si="248"/>
        <v/>
      </c>
    </row>
    <row r="1730" spans="1:28" s="219" customFormat="1" ht="20.25">
      <c r="A1730" s="174"/>
      <c r="B1730" s="175" t="str">
        <f>IF(LEN(A1730)=0,"",INDEX('Smelter Look-up'!$A:$A,MATCH($A1730,'Smelter Look-up'!$E:$E,0)))</f>
        <v/>
      </c>
      <c r="C1730" s="179" t="str">
        <f>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46"/>
        <v/>
      </c>
      <c r="T1730" s="174" t="str">
        <f ca="1">IF(B1730="","",IF(ISERROR(MATCH($J1730,SorP!$B$1:$B$6279,0)),"",INDIRECT("'SorP'!$A$"&amp;MATCH($S1730&amp;$J1730,SorP!C:C,0))))</f>
        <v/>
      </c>
      <c r="U1730" s="194"/>
      <c r="V1730" s="218" t="e">
        <f>IF(C1730="",NA(),IF(OR(C1730="Smelter not listed",C1730="Smelter not yet identified"),MATCH($B1730&amp;$D1730,'Smelter Look-up'!$J:$J,0),MATCH($B1730&amp;$C1730,'Smelter Look-up'!$J:$J,0)))</f>
        <v>#N/A</v>
      </c>
      <c r="X1730" s="219">
        <f t="shared" ca="1" si="247"/>
        <v>0</v>
      </c>
      <c r="AB1730" s="220" t="str">
        <f t="shared" si="248"/>
        <v/>
      </c>
    </row>
    <row r="1731" spans="1:28" s="219" customFormat="1" ht="20.25">
      <c r="A1731" s="174"/>
      <c r="B1731" s="175" t="str">
        <f>IF(LEN(A1731)=0,"",INDEX('Smelter Look-up'!$A:$A,MATCH($A1731,'Smelter Look-up'!$E:$E,0)))</f>
        <v/>
      </c>
      <c r="C1731" s="179" t="str">
        <f>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46"/>
        <v/>
      </c>
      <c r="T1731" s="174" t="str">
        <f ca="1">IF(B1731="","",IF(ISERROR(MATCH($J1731,SorP!$B$1:$B$6279,0)),"",INDIRECT("'SorP'!$A$"&amp;MATCH($S1731&amp;$J1731,SorP!C:C,0))))</f>
        <v/>
      </c>
      <c r="U1731" s="194"/>
      <c r="V1731" s="218" t="e">
        <f>IF(C1731="",NA(),IF(OR(C1731="Smelter not listed",C1731="Smelter not yet identified"),MATCH($B1731&amp;$D1731,'Smelter Look-up'!$J:$J,0),MATCH($B1731&amp;$C1731,'Smelter Look-up'!$J:$J,0)))</f>
        <v>#N/A</v>
      </c>
      <c r="X1731" s="219">
        <f t="shared" ca="1" si="247"/>
        <v>0</v>
      </c>
      <c r="AB1731" s="220" t="str">
        <f t="shared" si="248"/>
        <v/>
      </c>
    </row>
    <row r="1732" spans="1:28" s="219" customFormat="1" ht="20.25">
      <c r="A1732" s="174"/>
      <c r="B1732" s="175" t="str">
        <f>IF(LEN(A1732)=0,"",INDEX('Smelter Look-up'!$A:$A,MATCH($A1732,'Smelter Look-up'!$E:$E,0)))</f>
        <v/>
      </c>
      <c r="C1732" s="179" t="str">
        <f>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46"/>
        <v/>
      </c>
      <c r="T1732" s="174" t="str">
        <f ca="1">IF(B1732="","",IF(ISERROR(MATCH($J1732,SorP!$B$1:$B$6279,0)),"",INDIRECT("'SorP'!$A$"&amp;MATCH($S1732&amp;$J1732,SorP!C:C,0))))</f>
        <v/>
      </c>
      <c r="U1732" s="194"/>
      <c r="V1732" s="218" t="e">
        <f>IF(C1732="",NA(),IF(OR(C1732="Smelter not listed",C1732="Smelter not yet identified"),MATCH($B1732&amp;$D1732,'Smelter Look-up'!$J:$J,0),MATCH($B1732&amp;$C1732,'Smelter Look-up'!$J:$J,0)))</f>
        <v>#N/A</v>
      </c>
      <c r="X1732" s="219">
        <f t="shared" ca="1" si="247"/>
        <v>0</v>
      </c>
      <c r="AB1732" s="220" t="str">
        <f t="shared" si="248"/>
        <v/>
      </c>
    </row>
    <row r="1733" spans="1:28" s="219" customFormat="1" ht="20.25">
      <c r="A1733" s="174"/>
      <c r="B1733" s="175" t="str">
        <f>IF(LEN(A1733)=0,"",INDEX('Smelter Look-up'!$A:$A,MATCH($A1733,'Smelter Look-up'!$E:$E,0)))</f>
        <v/>
      </c>
      <c r="C1733" s="179" t="str">
        <f>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46"/>
        <v/>
      </c>
      <c r="T1733" s="174" t="str">
        <f ca="1">IF(B1733="","",IF(ISERROR(MATCH($J1733,SorP!$B$1:$B$6279,0)),"",INDIRECT("'SorP'!$A$"&amp;MATCH($S1733&amp;$J1733,SorP!C:C,0))))</f>
        <v/>
      </c>
      <c r="U1733" s="194"/>
      <c r="V1733" s="218" t="e">
        <f>IF(C1733="",NA(),IF(OR(C1733="Smelter not listed",C1733="Smelter not yet identified"),MATCH($B1733&amp;$D1733,'Smelter Look-up'!$J:$J,0),MATCH($B1733&amp;$C1733,'Smelter Look-up'!$J:$J,0)))</f>
        <v>#N/A</v>
      </c>
      <c r="X1733" s="219">
        <f t="shared" ca="1" si="247"/>
        <v>0</v>
      </c>
      <c r="AB1733" s="220" t="str">
        <f t="shared" si="248"/>
        <v/>
      </c>
    </row>
    <row r="1734" spans="1:28" s="219" customFormat="1" ht="20.25">
      <c r="A1734" s="174"/>
      <c r="B1734" s="175" t="str">
        <f>IF(LEN(A1734)=0,"",INDEX('Smelter Look-up'!$A:$A,MATCH($A1734,'Smelter Look-up'!$E:$E,0)))</f>
        <v/>
      </c>
      <c r="C1734" s="179" t="str">
        <f>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46"/>
        <v/>
      </c>
      <c r="T1734" s="174" t="str">
        <f ca="1">IF(B1734="","",IF(ISERROR(MATCH($J1734,SorP!$B$1:$B$6279,0)),"",INDIRECT("'SorP'!$A$"&amp;MATCH($S1734&amp;$J1734,SorP!C:C,0))))</f>
        <v/>
      </c>
      <c r="U1734" s="194"/>
      <c r="V1734" s="218" t="e">
        <f>IF(C1734="",NA(),IF(OR(C1734="Smelter not listed",C1734="Smelter not yet identified"),MATCH($B1734&amp;$D1734,'Smelter Look-up'!$J:$J,0),MATCH($B1734&amp;$C1734,'Smelter Look-up'!$J:$J,0)))</f>
        <v>#N/A</v>
      </c>
      <c r="X1734" s="219">
        <f t="shared" ca="1" si="247"/>
        <v>0</v>
      </c>
      <c r="AB1734" s="220" t="str">
        <f t="shared" si="248"/>
        <v/>
      </c>
    </row>
    <row r="1735" spans="1:28" s="219" customFormat="1" ht="20.25">
      <c r="A1735" s="174"/>
      <c r="B1735" s="175" t="str">
        <f>IF(LEN(A1735)=0,"",INDEX('Smelter Look-up'!$A:$A,MATCH($A1735,'Smelter Look-up'!$E:$E,0)))</f>
        <v/>
      </c>
      <c r="C1735" s="179" t="str">
        <f>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46"/>
        <v/>
      </c>
      <c r="T1735" s="174" t="str">
        <f ca="1">IF(B1735="","",IF(ISERROR(MATCH($J1735,SorP!$B$1:$B$6279,0)),"",INDIRECT("'SorP'!$A$"&amp;MATCH($S1735&amp;$J1735,SorP!C:C,0))))</f>
        <v/>
      </c>
      <c r="U1735" s="194"/>
      <c r="V1735" s="218" t="e">
        <f>IF(C1735="",NA(),IF(OR(C1735="Smelter not listed",C1735="Smelter not yet identified"),MATCH($B1735&amp;$D1735,'Smelter Look-up'!$J:$J,0),MATCH($B1735&amp;$C1735,'Smelter Look-up'!$J:$J,0)))</f>
        <v>#N/A</v>
      </c>
      <c r="X1735" s="219">
        <f t="shared" ca="1" si="247"/>
        <v>0</v>
      </c>
      <c r="AB1735" s="220" t="str">
        <f t="shared" si="248"/>
        <v/>
      </c>
    </row>
    <row r="1736" spans="1:28" s="219" customFormat="1" ht="20.25">
      <c r="A1736" s="174"/>
      <c r="B1736" s="175" t="str">
        <f>IF(LEN(A1736)=0,"",INDEX('Smelter Look-up'!$A:$A,MATCH($A1736,'Smelter Look-up'!$E:$E,0)))</f>
        <v/>
      </c>
      <c r="C1736" s="179" t="str">
        <f>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46"/>
        <v/>
      </c>
      <c r="T1736" s="174" t="str">
        <f ca="1">IF(B1736="","",IF(ISERROR(MATCH($J1736,SorP!$B$1:$B$6279,0)),"",INDIRECT("'SorP'!$A$"&amp;MATCH($S1736&amp;$J1736,SorP!C:C,0))))</f>
        <v/>
      </c>
      <c r="U1736" s="194"/>
      <c r="V1736" s="218" t="e">
        <f>IF(C1736="",NA(),IF(OR(C1736="Smelter not listed",C1736="Smelter not yet identified"),MATCH($B1736&amp;$D1736,'Smelter Look-up'!$J:$J,0),MATCH($B1736&amp;$C1736,'Smelter Look-up'!$J:$J,0)))</f>
        <v>#N/A</v>
      </c>
      <c r="X1736" s="219">
        <f t="shared" ca="1" si="247"/>
        <v>0</v>
      </c>
      <c r="AB1736" s="220" t="str">
        <f t="shared" si="248"/>
        <v/>
      </c>
    </row>
    <row r="1737" spans="1:28" s="219" customFormat="1" ht="20.25">
      <c r="A1737" s="174"/>
      <c r="B1737" s="175" t="str">
        <f>IF(LEN(A1737)=0,"",INDEX('Smelter Look-up'!$A:$A,MATCH($A1737,'Smelter Look-up'!$E:$E,0)))</f>
        <v/>
      </c>
      <c r="C1737" s="179" t="str">
        <f>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46"/>
        <v/>
      </c>
      <c r="T1737" s="174" t="str">
        <f ca="1">IF(B1737="","",IF(ISERROR(MATCH($J1737,SorP!$B$1:$B$6279,0)),"",INDIRECT("'SorP'!$A$"&amp;MATCH($S1737&amp;$J1737,SorP!C:C,0))))</f>
        <v/>
      </c>
      <c r="U1737" s="194"/>
      <c r="V1737" s="218" t="e">
        <f>IF(C1737="",NA(),IF(OR(C1737="Smelter not listed",C1737="Smelter not yet identified"),MATCH($B1737&amp;$D1737,'Smelter Look-up'!$J:$J,0),MATCH($B1737&amp;$C1737,'Smelter Look-up'!$J:$J,0)))</f>
        <v>#N/A</v>
      </c>
      <c r="X1737" s="219">
        <f t="shared" ca="1" si="247"/>
        <v>0</v>
      </c>
      <c r="AB1737" s="220" t="str">
        <f t="shared" si="248"/>
        <v/>
      </c>
    </row>
    <row r="1738" spans="1:28" s="219" customFormat="1" ht="20.25">
      <c r="A1738" s="174"/>
      <c r="B1738" s="175" t="str">
        <f>IF(LEN(A1738)=0,"",INDEX('Smelter Look-up'!$A:$A,MATCH($A1738,'Smelter Look-up'!$E:$E,0)))</f>
        <v/>
      </c>
      <c r="C1738" s="179" t="str">
        <f>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46"/>
        <v/>
      </c>
      <c r="T1738" s="174" t="str">
        <f ca="1">IF(B1738="","",IF(ISERROR(MATCH($J1738,SorP!$B$1:$B$6279,0)),"",INDIRECT("'SorP'!$A$"&amp;MATCH($S1738&amp;$J1738,SorP!C:C,0))))</f>
        <v/>
      </c>
      <c r="U1738" s="194"/>
      <c r="V1738" s="218" t="e">
        <f>IF(C1738="",NA(),IF(OR(C1738="Smelter not listed",C1738="Smelter not yet identified"),MATCH($B1738&amp;$D1738,'Smelter Look-up'!$J:$J,0),MATCH($B1738&amp;$C1738,'Smelter Look-up'!$J:$J,0)))</f>
        <v>#N/A</v>
      </c>
      <c r="X1738" s="219">
        <f t="shared" ca="1" si="247"/>
        <v>0</v>
      </c>
      <c r="AB1738" s="220" t="str">
        <f t="shared" si="248"/>
        <v/>
      </c>
    </row>
    <row r="1739" spans="1:28" s="219" customFormat="1" ht="20.25">
      <c r="A1739" s="174"/>
      <c r="B1739" s="175" t="str">
        <f>IF(LEN(A1739)=0,"",INDEX('Smelter Look-up'!$A:$A,MATCH($A1739,'Smelter Look-up'!$E:$E,0)))</f>
        <v/>
      </c>
      <c r="C1739" s="179" t="str">
        <f>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46"/>
        <v/>
      </c>
      <c r="T1739" s="174" t="str">
        <f ca="1">IF(B1739="","",IF(ISERROR(MATCH($J1739,SorP!$B$1:$B$6279,0)),"",INDIRECT("'SorP'!$A$"&amp;MATCH($S1739&amp;$J1739,SorP!C:C,0))))</f>
        <v/>
      </c>
      <c r="U1739" s="194"/>
      <c r="V1739" s="218" t="e">
        <f>IF(C1739="",NA(),IF(OR(C1739="Smelter not listed",C1739="Smelter not yet identified"),MATCH($B1739&amp;$D1739,'Smelter Look-up'!$J:$J,0),MATCH($B1739&amp;$C1739,'Smelter Look-up'!$J:$J,0)))</f>
        <v>#N/A</v>
      </c>
      <c r="X1739" s="219">
        <f t="shared" ca="1" si="247"/>
        <v>0</v>
      </c>
      <c r="AB1739" s="220" t="str">
        <f t="shared" si="248"/>
        <v/>
      </c>
    </row>
    <row r="1740" spans="1:28" s="219" customFormat="1" ht="20.25">
      <c r="A1740" s="174"/>
      <c r="B1740" s="175" t="str">
        <f>IF(LEN(A1740)=0,"",INDEX('Smelter Look-up'!$A:$A,MATCH($A1740,'Smelter Look-up'!$E:$E,0)))</f>
        <v/>
      </c>
      <c r="C1740" s="179" t="str">
        <f>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46"/>
        <v/>
      </c>
      <c r="T1740" s="174" t="str">
        <f ca="1">IF(B1740="","",IF(ISERROR(MATCH($J1740,SorP!$B$1:$B$6279,0)),"",INDIRECT("'SorP'!$A$"&amp;MATCH($S1740&amp;$J1740,SorP!C:C,0))))</f>
        <v/>
      </c>
      <c r="U1740" s="194"/>
      <c r="V1740" s="218" t="e">
        <f>IF(C1740="",NA(),IF(OR(C1740="Smelter not listed",C1740="Smelter not yet identified"),MATCH($B1740&amp;$D1740,'Smelter Look-up'!$J:$J,0),MATCH($B1740&amp;$C1740,'Smelter Look-up'!$J:$J,0)))</f>
        <v>#N/A</v>
      </c>
      <c r="X1740" s="219">
        <f t="shared" ca="1" si="247"/>
        <v>0</v>
      </c>
      <c r="AB1740" s="220" t="str">
        <f t="shared" si="248"/>
        <v/>
      </c>
    </row>
    <row r="1741" spans="1:28" s="219" customFormat="1" ht="20.25">
      <c r="A1741" s="174"/>
      <c r="B1741" s="175" t="str">
        <f>IF(LEN(A1741)=0,"",INDEX('Smelter Look-up'!$A:$A,MATCH($A1741,'Smelter Look-up'!$E:$E,0)))</f>
        <v/>
      </c>
      <c r="C1741" s="179" t="str">
        <f>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46"/>
        <v/>
      </c>
      <c r="T1741" s="174" t="str">
        <f ca="1">IF(B1741="","",IF(ISERROR(MATCH($J1741,SorP!$B$1:$B$6279,0)),"",INDIRECT("'SorP'!$A$"&amp;MATCH($S1741&amp;$J1741,SorP!C:C,0))))</f>
        <v/>
      </c>
      <c r="U1741" s="194"/>
      <c r="V1741" s="218" t="e">
        <f>IF(C1741="",NA(),IF(OR(C1741="Smelter not listed",C1741="Smelter not yet identified"),MATCH($B1741&amp;$D1741,'Smelter Look-up'!$J:$J,0),MATCH($B1741&amp;$C1741,'Smelter Look-up'!$J:$J,0)))</f>
        <v>#N/A</v>
      </c>
      <c r="X1741" s="219">
        <f t="shared" ca="1" si="247"/>
        <v>0</v>
      </c>
      <c r="AB1741" s="220" t="str">
        <f t="shared" si="248"/>
        <v/>
      </c>
    </row>
    <row r="1742" spans="1:28" s="219" customFormat="1" ht="20.25">
      <c r="A1742" s="174"/>
      <c r="B1742" s="175" t="str">
        <f>IF(LEN(A1742)=0,"",INDEX('Smelter Look-up'!$A:$A,MATCH($A1742,'Smelter Look-up'!$E:$E,0)))</f>
        <v/>
      </c>
      <c r="C1742" s="179" t="str">
        <f>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46"/>
        <v/>
      </c>
      <c r="T1742" s="174" t="str">
        <f ca="1">IF(B1742="","",IF(ISERROR(MATCH($J1742,SorP!$B$1:$B$6279,0)),"",INDIRECT("'SorP'!$A$"&amp;MATCH($S1742&amp;$J1742,SorP!C:C,0))))</f>
        <v/>
      </c>
      <c r="U1742" s="194"/>
      <c r="V1742" s="218" t="e">
        <f>IF(C1742="",NA(),IF(OR(C1742="Smelter not listed",C1742="Smelter not yet identified"),MATCH($B1742&amp;$D1742,'Smelter Look-up'!$J:$J,0),MATCH($B1742&amp;$C1742,'Smelter Look-up'!$J:$J,0)))</f>
        <v>#N/A</v>
      </c>
      <c r="X1742" s="219">
        <f t="shared" ca="1" si="247"/>
        <v>0</v>
      </c>
      <c r="AB1742" s="220" t="str">
        <f t="shared" si="248"/>
        <v/>
      </c>
    </row>
    <row r="1743" spans="1:28" s="219" customFormat="1" ht="20.25">
      <c r="A1743" s="174"/>
      <c r="B1743" s="175" t="str">
        <f>IF(LEN(A1743)=0,"",INDEX('Smelter Look-up'!$A:$A,MATCH($A1743,'Smelter Look-up'!$E:$E,0)))</f>
        <v/>
      </c>
      <c r="C1743" s="179" t="str">
        <f>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46"/>
        <v/>
      </c>
      <c r="T1743" s="174" t="str">
        <f ca="1">IF(B1743="","",IF(ISERROR(MATCH($J1743,SorP!$B$1:$B$6279,0)),"",INDIRECT("'SorP'!$A$"&amp;MATCH($S1743&amp;$J1743,SorP!C:C,0))))</f>
        <v/>
      </c>
      <c r="U1743" s="194"/>
      <c r="V1743" s="218" t="e">
        <f>IF(C1743="",NA(),IF(OR(C1743="Smelter not listed",C1743="Smelter not yet identified"),MATCH($B1743&amp;$D1743,'Smelter Look-up'!$J:$J,0),MATCH($B1743&amp;$C1743,'Smelter Look-up'!$J:$J,0)))</f>
        <v>#N/A</v>
      </c>
      <c r="X1743" s="219">
        <f t="shared" ca="1" si="247"/>
        <v>0</v>
      </c>
      <c r="AB1743" s="220" t="str">
        <f t="shared" si="248"/>
        <v/>
      </c>
    </row>
    <row r="1744" spans="1:28" s="219" customFormat="1" ht="20.25">
      <c r="A1744" s="174"/>
      <c r="B1744" s="175" t="str">
        <f>IF(LEN(A1744)=0,"",INDEX('Smelter Look-up'!$A:$A,MATCH($A1744,'Smelter Look-up'!$E:$E,0)))</f>
        <v/>
      </c>
      <c r="C1744" s="179" t="str">
        <f>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46"/>
        <v/>
      </c>
      <c r="T1744" s="174" t="str">
        <f ca="1">IF(B1744="","",IF(ISERROR(MATCH($J1744,SorP!$B$1:$B$6279,0)),"",INDIRECT("'SorP'!$A$"&amp;MATCH($S1744&amp;$J1744,SorP!C:C,0))))</f>
        <v/>
      </c>
      <c r="U1744" s="194"/>
      <c r="V1744" s="218" t="e">
        <f>IF(C1744="",NA(),IF(OR(C1744="Smelter not listed",C1744="Smelter not yet identified"),MATCH($B1744&amp;$D1744,'Smelter Look-up'!$J:$J,0),MATCH($B1744&amp;$C1744,'Smelter Look-up'!$J:$J,0)))</f>
        <v>#N/A</v>
      </c>
      <c r="X1744" s="219">
        <f t="shared" ca="1" si="247"/>
        <v>0</v>
      </c>
      <c r="AB1744" s="220" t="str">
        <f t="shared" si="248"/>
        <v/>
      </c>
    </row>
    <row r="1745" spans="1:28" s="219" customFormat="1" ht="20.25">
      <c r="A1745" s="174"/>
      <c r="B1745" s="175" t="str">
        <f>IF(LEN(A1745)=0,"",INDEX('Smelter Look-up'!$A:$A,MATCH($A1745,'Smelter Look-up'!$E:$E,0)))</f>
        <v/>
      </c>
      <c r="C1745" s="179" t="str">
        <f>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46"/>
        <v/>
      </c>
      <c r="T1745" s="174" t="str">
        <f ca="1">IF(B1745="","",IF(ISERROR(MATCH($J1745,SorP!$B$1:$B$6279,0)),"",INDIRECT("'SorP'!$A$"&amp;MATCH($S1745&amp;$J1745,SorP!C:C,0))))</f>
        <v/>
      </c>
      <c r="U1745" s="194"/>
      <c r="V1745" s="218" t="e">
        <f>IF(C1745="",NA(),IF(OR(C1745="Smelter not listed",C1745="Smelter not yet identified"),MATCH($B1745&amp;$D1745,'Smelter Look-up'!$J:$J,0),MATCH($B1745&amp;$C1745,'Smelter Look-up'!$J:$J,0)))</f>
        <v>#N/A</v>
      </c>
      <c r="X1745" s="219">
        <f t="shared" ca="1" si="247"/>
        <v>0</v>
      </c>
      <c r="AB1745" s="220" t="str">
        <f t="shared" si="248"/>
        <v/>
      </c>
    </row>
    <row r="1746" spans="1:28" s="219" customFormat="1" ht="20.25">
      <c r="A1746" s="174"/>
      <c r="B1746" s="175" t="str">
        <f>IF(LEN(A1746)=0,"",INDEX('Smelter Look-up'!$A:$A,MATCH($A1746,'Smelter Look-up'!$E:$E,0)))</f>
        <v/>
      </c>
      <c r="C1746" s="179" t="str">
        <f>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246"/>
        <v/>
      </c>
      <c r="T1746" s="174" t="str">
        <f ca="1">IF(B1746="","",IF(ISERROR(MATCH($J1746,SorP!$B$1:$B$6279,0)),"",INDIRECT("'SorP'!$A$"&amp;MATCH($S1746&amp;$J1746,SorP!C:C,0))))</f>
        <v/>
      </c>
      <c r="U1746" s="194"/>
      <c r="V1746" s="218" t="e">
        <f>IF(C1746="",NA(),IF(OR(C1746="Smelter not listed",C1746="Smelter not yet identified"),MATCH($B1746&amp;$D1746,'Smelter Look-up'!$J:$J,0),MATCH($B1746&amp;$C1746,'Smelter Look-up'!$J:$J,0)))</f>
        <v>#N/A</v>
      </c>
      <c r="X1746" s="219">
        <f t="shared" ca="1" si="247"/>
        <v>0</v>
      </c>
      <c r="AB1746" s="220" t="str">
        <f t="shared" si="248"/>
        <v/>
      </c>
    </row>
    <row r="1747" spans="1:28" s="219" customFormat="1" ht="20.25">
      <c r="A1747" s="174"/>
      <c r="B1747" s="175" t="str">
        <f>IF(LEN(A1747)=0,"",INDEX('Smelter Look-up'!$A:$A,MATCH($A1747,'Smelter Look-up'!$E:$E,0)))</f>
        <v/>
      </c>
      <c r="C1747" s="179" t="str">
        <f>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246"/>
        <v/>
      </c>
      <c r="T1747" s="174" t="str">
        <f ca="1">IF(B1747="","",IF(ISERROR(MATCH($J1747,SorP!$B$1:$B$6279,0)),"",INDIRECT("'SorP'!$A$"&amp;MATCH($S1747&amp;$J1747,SorP!C:C,0))))</f>
        <v/>
      </c>
      <c r="U1747" s="194"/>
      <c r="V1747" s="218" t="e">
        <f>IF(C1747="",NA(),IF(OR(C1747="Smelter not listed",C1747="Smelter not yet identified"),MATCH($B1747&amp;$D1747,'Smelter Look-up'!$J:$J,0),MATCH($B1747&amp;$C1747,'Smelter Look-up'!$J:$J,0)))</f>
        <v>#N/A</v>
      </c>
      <c r="X1747" s="219">
        <f t="shared" ca="1" si="247"/>
        <v>0</v>
      </c>
      <c r="AB1747" s="220" t="str">
        <f t="shared" si="248"/>
        <v/>
      </c>
    </row>
    <row r="1748" spans="1:28" s="219" customFormat="1" ht="20.25">
      <c r="A1748" s="174"/>
      <c r="B1748" s="175" t="str">
        <f>IF(LEN(A1748)=0,"",INDEX('Smelter Look-up'!$A:$A,MATCH($A1748,'Smelter Look-up'!$E:$E,0)))</f>
        <v/>
      </c>
      <c r="C1748" s="179" t="str">
        <f>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46"/>
        <v/>
      </c>
      <c r="T1748" s="174" t="str">
        <f ca="1">IF(B1748="","",IF(ISERROR(MATCH($J1748,SorP!$B$1:$B$6279,0)),"",INDIRECT("'SorP'!$A$"&amp;MATCH($S1748&amp;$J1748,SorP!C:C,0))))</f>
        <v/>
      </c>
      <c r="U1748" s="194"/>
      <c r="V1748" s="218" t="e">
        <f>IF(C1748="",NA(),IF(OR(C1748="Smelter not listed",C1748="Smelter not yet identified"),MATCH($B1748&amp;$D1748,'Smelter Look-up'!$J:$J,0),MATCH($B1748&amp;$C1748,'Smelter Look-up'!$J:$J,0)))</f>
        <v>#N/A</v>
      </c>
      <c r="X1748" s="219">
        <f t="shared" ca="1" si="247"/>
        <v>0</v>
      </c>
      <c r="AB1748" s="220" t="str">
        <f t="shared" si="248"/>
        <v/>
      </c>
    </row>
    <row r="1749" spans="1:28" s="219" customFormat="1" ht="20.25">
      <c r="A1749" s="174"/>
      <c r="B1749" s="175" t="str">
        <f>IF(LEN(A1749)=0,"",INDEX('Smelter Look-up'!$A:$A,MATCH($A1749,'Smelter Look-up'!$E:$E,0)))</f>
        <v/>
      </c>
      <c r="C1749" s="179" t="str">
        <f>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46"/>
        <v/>
      </c>
      <c r="T1749" s="174" t="str">
        <f ca="1">IF(B1749="","",IF(ISERROR(MATCH($J1749,SorP!$B$1:$B$6279,0)),"",INDIRECT("'SorP'!$A$"&amp;MATCH($S1749&amp;$J1749,SorP!C:C,0))))</f>
        <v/>
      </c>
      <c r="U1749" s="194"/>
      <c r="V1749" s="218" t="e">
        <f>IF(C1749="",NA(),IF(OR(C1749="Smelter not listed",C1749="Smelter not yet identified"),MATCH($B1749&amp;$D1749,'Smelter Look-up'!$J:$J,0),MATCH($B1749&amp;$C1749,'Smelter Look-up'!$J:$J,0)))</f>
        <v>#N/A</v>
      </c>
      <c r="X1749" s="219">
        <f t="shared" ca="1" si="247"/>
        <v>0</v>
      </c>
      <c r="AB1749" s="220" t="str">
        <f t="shared" si="248"/>
        <v/>
      </c>
    </row>
    <row r="1750" spans="1:28" s="219" customFormat="1" ht="20.25">
      <c r="A1750" s="174"/>
      <c r="B1750" s="175" t="str">
        <f>IF(LEN(A1750)=0,"",INDEX('Smelter Look-up'!$A:$A,MATCH($A1750,'Smelter Look-up'!$E:$E,0)))</f>
        <v/>
      </c>
      <c r="C1750" s="179" t="str">
        <f>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46"/>
        <v/>
      </c>
      <c r="T1750" s="174" t="str">
        <f ca="1">IF(B1750="","",IF(ISERROR(MATCH($J1750,SorP!$B$1:$B$6279,0)),"",INDIRECT("'SorP'!$A$"&amp;MATCH($S1750&amp;$J1750,SorP!C:C,0))))</f>
        <v/>
      </c>
      <c r="U1750" s="194"/>
      <c r="V1750" s="218" t="e">
        <f>IF(C1750="",NA(),IF(OR(C1750="Smelter not listed",C1750="Smelter not yet identified"),MATCH($B1750&amp;$D1750,'Smelter Look-up'!$J:$J,0),MATCH($B1750&amp;$C1750,'Smelter Look-up'!$J:$J,0)))</f>
        <v>#N/A</v>
      </c>
      <c r="X1750" s="219">
        <f t="shared" ca="1" si="247"/>
        <v>0</v>
      </c>
      <c r="AB1750" s="220" t="str">
        <f t="shared" si="248"/>
        <v/>
      </c>
    </row>
    <row r="1751" spans="1:28" s="219" customFormat="1" ht="20.25">
      <c r="A1751" s="174"/>
      <c r="B1751" s="175" t="str">
        <f>IF(LEN(A1751)=0,"",INDEX('Smelter Look-up'!$A:$A,MATCH($A1751,'Smelter Look-up'!$E:$E,0)))</f>
        <v/>
      </c>
      <c r="C1751" s="179" t="str">
        <f>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46"/>
        <v/>
      </c>
      <c r="T1751" s="174" t="str">
        <f ca="1">IF(B1751="","",IF(ISERROR(MATCH($J1751,SorP!$B$1:$B$6279,0)),"",INDIRECT("'SorP'!$A$"&amp;MATCH($S1751&amp;$J1751,SorP!C:C,0))))</f>
        <v/>
      </c>
      <c r="U1751" s="194"/>
      <c r="V1751" s="218" t="e">
        <f>IF(C1751="",NA(),IF(OR(C1751="Smelter not listed",C1751="Smelter not yet identified"),MATCH($B1751&amp;$D1751,'Smelter Look-up'!$J:$J,0),MATCH($B1751&amp;$C1751,'Smelter Look-up'!$J:$J,0)))</f>
        <v>#N/A</v>
      </c>
      <c r="X1751" s="219">
        <f t="shared" ca="1" si="247"/>
        <v>0</v>
      </c>
      <c r="AB1751" s="220" t="str">
        <f t="shared" si="248"/>
        <v/>
      </c>
    </row>
    <row r="1752" spans="1:28" s="219" customFormat="1" ht="20.25">
      <c r="A1752" s="174"/>
      <c r="B1752" s="175" t="str">
        <f>IF(LEN(A1752)=0,"",INDEX('Smelter Look-up'!$A:$A,MATCH($A1752,'Smelter Look-up'!$E:$E,0)))</f>
        <v/>
      </c>
      <c r="C1752" s="179" t="str">
        <f>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46"/>
        <v/>
      </c>
      <c r="T1752" s="174" t="str">
        <f ca="1">IF(B1752="","",IF(ISERROR(MATCH($J1752,SorP!$B$1:$B$6279,0)),"",INDIRECT("'SorP'!$A$"&amp;MATCH($S1752&amp;$J1752,SorP!C:C,0))))</f>
        <v/>
      </c>
      <c r="U1752" s="194"/>
      <c r="V1752" s="218" t="e">
        <f>IF(C1752="",NA(),IF(OR(C1752="Smelter not listed",C1752="Smelter not yet identified"),MATCH($B1752&amp;$D1752,'Smelter Look-up'!$J:$J,0),MATCH($B1752&amp;$C1752,'Smelter Look-up'!$J:$J,0)))</f>
        <v>#N/A</v>
      </c>
      <c r="X1752" s="219">
        <f t="shared" ca="1" si="247"/>
        <v>0</v>
      </c>
      <c r="AB1752" s="220" t="str">
        <f t="shared" si="248"/>
        <v/>
      </c>
    </row>
    <row r="1753" spans="1:28" s="219" customFormat="1" ht="20.25">
      <c r="A1753" s="174"/>
      <c r="B1753" s="175" t="str">
        <f>IF(LEN(A1753)=0,"",INDEX('Smelter Look-up'!$A:$A,MATCH($A1753,'Smelter Look-up'!$E:$E,0)))</f>
        <v/>
      </c>
      <c r="C1753" s="179" t="str">
        <f>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46"/>
        <v/>
      </c>
      <c r="T1753" s="174" t="str">
        <f ca="1">IF(B1753="","",IF(ISERROR(MATCH($J1753,SorP!$B$1:$B$6279,0)),"",INDIRECT("'SorP'!$A$"&amp;MATCH($S1753&amp;$J1753,SorP!C:C,0))))</f>
        <v/>
      </c>
      <c r="U1753" s="194"/>
      <c r="V1753" s="218" t="e">
        <f>IF(C1753="",NA(),IF(OR(C1753="Smelter not listed",C1753="Smelter not yet identified"),MATCH($B1753&amp;$D1753,'Smelter Look-up'!$J:$J,0),MATCH($B1753&amp;$C1753,'Smelter Look-up'!$J:$J,0)))</f>
        <v>#N/A</v>
      </c>
      <c r="X1753" s="219">
        <f t="shared" ca="1" si="247"/>
        <v>0</v>
      </c>
      <c r="AB1753" s="220" t="str">
        <f t="shared" si="248"/>
        <v/>
      </c>
    </row>
    <row r="1754" spans="1:28" s="219" customFormat="1" ht="20.25">
      <c r="A1754" s="174"/>
      <c r="B1754" s="175" t="str">
        <f>IF(LEN(A1754)=0,"",INDEX('Smelter Look-up'!$A:$A,MATCH($A1754,'Smelter Look-up'!$E:$E,0)))</f>
        <v/>
      </c>
      <c r="C1754" s="179" t="str">
        <f>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246"/>
        <v/>
      </c>
      <c r="T1754" s="174" t="str">
        <f ca="1">IF(B1754="","",IF(ISERROR(MATCH($J1754,SorP!$B$1:$B$6279,0)),"",INDIRECT("'SorP'!$A$"&amp;MATCH($S1754&amp;$J1754,SorP!C:C,0))))</f>
        <v/>
      </c>
      <c r="U1754" s="194"/>
      <c r="V1754" s="218" t="e">
        <f>IF(C1754="",NA(),IF(OR(C1754="Smelter not listed",C1754="Smelter not yet identified"),MATCH($B1754&amp;$D1754,'Smelter Look-up'!$J:$J,0),MATCH($B1754&amp;$C1754,'Smelter Look-up'!$J:$J,0)))</f>
        <v>#N/A</v>
      </c>
      <c r="X1754" s="219">
        <f t="shared" ca="1" si="247"/>
        <v>0</v>
      </c>
      <c r="AB1754" s="220" t="str">
        <f t="shared" si="248"/>
        <v/>
      </c>
    </row>
    <row r="1755" spans="1:28" s="219" customFormat="1" ht="20.25">
      <c r="A1755" s="174"/>
      <c r="B1755" s="175" t="str">
        <f>IF(LEN(A1755)=0,"",INDEX('Smelter Look-up'!$A:$A,MATCH($A1755,'Smelter Look-up'!$E:$E,0)))</f>
        <v/>
      </c>
      <c r="C1755" s="179" t="str">
        <f>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246"/>
        <v/>
      </c>
      <c r="T1755" s="174" t="str">
        <f ca="1">IF(B1755="","",IF(ISERROR(MATCH($J1755,SorP!$B$1:$B$6279,0)),"",INDIRECT("'SorP'!$A$"&amp;MATCH($S1755&amp;$J1755,SorP!C:C,0))))</f>
        <v/>
      </c>
      <c r="U1755" s="194"/>
      <c r="V1755" s="218" t="e">
        <f>IF(C1755="",NA(),IF(OR(C1755="Smelter not listed",C1755="Smelter not yet identified"),MATCH($B1755&amp;$D1755,'Smelter Look-up'!$J:$J,0),MATCH($B1755&amp;$C1755,'Smelter Look-up'!$J:$J,0)))</f>
        <v>#N/A</v>
      </c>
      <c r="X1755" s="219">
        <f t="shared" ca="1" si="247"/>
        <v>0</v>
      </c>
      <c r="AB1755" s="220" t="str">
        <f t="shared" si="248"/>
        <v/>
      </c>
    </row>
    <row r="1756" spans="1:28" s="219" customFormat="1" ht="20.25">
      <c r="A1756" s="174"/>
      <c r="B1756" s="175" t="str">
        <f>IF(LEN(A1756)=0,"",INDEX('Smelter Look-up'!$A:$A,MATCH($A1756,'Smelter Look-up'!$E:$E,0)))</f>
        <v/>
      </c>
      <c r="C1756" s="179" t="str">
        <f>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ref="S1756:S1786" ca="1" si="249">IF(B1756="","",IF(ISERROR(MATCH($E1756,CL,0)),"Unknown",INDIRECT("'C'!$A$"&amp;MATCH($E1756,CL,0)+1)))</f>
        <v/>
      </c>
      <c r="T1756" s="174" t="str">
        <f ca="1">IF(B1756="","",IF(ISERROR(MATCH($J1756,SorP!$B$1:$B$6279,0)),"",INDIRECT("'SorP'!$A$"&amp;MATCH($S1756&amp;$J1756,SorP!C:C,0))))</f>
        <v/>
      </c>
      <c r="U1756" s="194"/>
      <c r="V1756" s="218" t="e">
        <f>IF(C1756="",NA(),IF(OR(C1756="Smelter not listed",C1756="Smelter not yet identified"),MATCH($B1756&amp;$D1756,'Smelter Look-up'!$J:$J,0),MATCH($B1756&amp;$C1756,'Smelter Look-up'!$J:$J,0)))</f>
        <v>#N/A</v>
      </c>
      <c r="X1756" s="219">
        <f t="shared" ref="X1756:X1786" ca="1" si="250">IF(AND(C1756="Smelter not listed",OR(LEN(D1756)=0,LEN(E1756)=0)),1,0)</f>
        <v>0</v>
      </c>
      <c r="AB1756" s="220" t="str">
        <f t="shared" ref="AB1756:AB1786" si="251">B1756&amp;C1756</f>
        <v/>
      </c>
    </row>
    <row r="1757" spans="1:28" s="219" customFormat="1" ht="20.25">
      <c r="A1757" s="174"/>
      <c r="B1757" s="175" t="str">
        <f>IF(LEN(A1757)=0,"",INDEX('Smelter Look-up'!$A:$A,MATCH($A1757,'Smelter Look-up'!$E:$E,0)))</f>
        <v/>
      </c>
      <c r="C1757" s="179" t="str">
        <f>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49"/>
        <v/>
      </c>
      <c r="T1757" s="174" t="str">
        <f ca="1">IF(B1757="","",IF(ISERROR(MATCH($J1757,SorP!$B$1:$B$6279,0)),"",INDIRECT("'SorP'!$A$"&amp;MATCH($S1757&amp;$J1757,SorP!C:C,0))))</f>
        <v/>
      </c>
      <c r="U1757" s="194"/>
      <c r="V1757" s="218" t="e">
        <f>IF(C1757="",NA(),IF(OR(C1757="Smelter not listed",C1757="Smelter not yet identified"),MATCH($B1757&amp;$D1757,'Smelter Look-up'!$J:$J,0),MATCH($B1757&amp;$C1757,'Smelter Look-up'!$J:$J,0)))</f>
        <v>#N/A</v>
      </c>
      <c r="X1757" s="219">
        <f t="shared" ca="1" si="250"/>
        <v>0</v>
      </c>
      <c r="AB1757" s="220" t="str">
        <f t="shared" si="251"/>
        <v/>
      </c>
    </row>
    <row r="1758" spans="1:28" s="219" customFormat="1" ht="20.25">
      <c r="A1758" s="174"/>
      <c r="B1758" s="175" t="str">
        <f>IF(LEN(A1758)=0,"",INDEX('Smelter Look-up'!$A:$A,MATCH($A1758,'Smelter Look-up'!$E:$E,0)))</f>
        <v/>
      </c>
      <c r="C1758" s="179" t="str">
        <f>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49"/>
        <v/>
      </c>
      <c r="T1758" s="174" t="str">
        <f ca="1">IF(B1758="","",IF(ISERROR(MATCH($J1758,SorP!$B$1:$B$6279,0)),"",INDIRECT("'SorP'!$A$"&amp;MATCH($S1758&amp;$J1758,SorP!C:C,0))))</f>
        <v/>
      </c>
      <c r="U1758" s="194"/>
      <c r="V1758" s="218" t="e">
        <f>IF(C1758="",NA(),IF(OR(C1758="Smelter not listed",C1758="Smelter not yet identified"),MATCH($B1758&amp;$D1758,'Smelter Look-up'!$J:$J,0),MATCH($B1758&amp;$C1758,'Smelter Look-up'!$J:$J,0)))</f>
        <v>#N/A</v>
      </c>
      <c r="X1758" s="219">
        <f t="shared" ca="1" si="250"/>
        <v>0</v>
      </c>
      <c r="AB1758" s="220" t="str">
        <f t="shared" si="251"/>
        <v/>
      </c>
    </row>
    <row r="1759" spans="1:28" s="219" customFormat="1" ht="20.25">
      <c r="A1759" s="174"/>
      <c r="B1759" s="175" t="str">
        <f>IF(LEN(A1759)=0,"",INDEX('Smelter Look-up'!$A:$A,MATCH($A1759,'Smelter Look-up'!$E:$E,0)))</f>
        <v/>
      </c>
      <c r="C1759" s="179" t="str">
        <f>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49"/>
        <v/>
      </c>
      <c r="T1759" s="174" t="str">
        <f ca="1">IF(B1759="","",IF(ISERROR(MATCH($J1759,SorP!$B$1:$B$6279,0)),"",INDIRECT("'SorP'!$A$"&amp;MATCH($S1759&amp;$J1759,SorP!C:C,0))))</f>
        <v/>
      </c>
      <c r="U1759" s="194"/>
      <c r="V1759" s="218" t="e">
        <f>IF(C1759="",NA(),IF(OR(C1759="Smelter not listed",C1759="Smelter not yet identified"),MATCH($B1759&amp;$D1759,'Smelter Look-up'!$J:$J,0),MATCH($B1759&amp;$C1759,'Smelter Look-up'!$J:$J,0)))</f>
        <v>#N/A</v>
      </c>
      <c r="X1759" s="219">
        <f t="shared" ca="1" si="250"/>
        <v>0</v>
      </c>
      <c r="AB1759" s="220" t="str">
        <f t="shared" si="251"/>
        <v/>
      </c>
    </row>
    <row r="1760" spans="1:28" s="219" customFormat="1" ht="20.25">
      <c r="A1760" s="174"/>
      <c r="B1760" s="175" t="str">
        <f>IF(LEN(A1760)=0,"",INDEX('Smelter Look-up'!$A:$A,MATCH($A1760,'Smelter Look-up'!$E:$E,0)))</f>
        <v/>
      </c>
      <c r="C1760" s="179" t="str">
        <f>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49"/>
        <v/>
      </c>
      <c r="T1760" s="174" t="str">
        <f ca="1">IF(B1760="","",IF(ISERROR(MATCH($J1760,SorP!$B$1:$B$6279,0)),"",INDIRECT("'SorP'!$A$"&amp;MATCH($S1760&amp;$J1760,SorP!C:C,0))))</f>
        <v/>
      </c>
      <c r="U1760" s="194"/>
      <c r="V1760" s="218" t="e">
        <f>IF(C1760="",NA(),IF(OR(C1760="Smelter not listed",C1760="Smelter not yet identified"),MATCH($B1760&amp;$D1760,'Smelter Look-up'!$J:$J,0),MATCH($B1760&amp;$C1760,'Smelter Look-up'!$J:$J,0)))</f>
        <v>#N/A</v>
      </c>
      <c r="X1760" s="219">
        <f t="shared" ca="1" si="250"/>
        <v>0</v>
      </c>
      <c r="AB1760" s="220" t="str">
        <f t="shared" si="251"/>
        <v/>
      </c>
    </row>
    <row r="1761" spans="1:28" s="219" customFormat="1" ht="20.25">
      <c r="A1761" s="174"/>
      <c r="B1761" s="175" t="str">
        <f>IF(LEN(A1761)=0,"",INDEX('Smelter Look-up'!$A:$A,MATCH($A1761,'Smelter Look-up'!$E:$E,0)))</f>
        <v/>
      </c>
      <c r="C1761" s="179" t="str">
        <f>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49"/>
        <v/>
      </c>
      <c r="T1761" s="174" t="str">
        <f ca="1">IF(B1761="","",IF(ISERROR(MATCH($J1761,SorP!$B$1:$B$6279,0)),"",INDIRECT("'SorP'!$A$"&amp;MATCH($S1761&amp;$J1761,SorP!C:C,0))))</f>
        <v/>
      </c>
      <c r="U1761" s="194"/>
      <c r="V1761" s="218" t="e">
        <f>IF(C1761="",NA(),IF(OR(C1761="Smelter not listed",C1761="Smelter not yet identified"),MATCH($B1761&amp;$D1761,'Smelter Look-up'!$J:$J,0),MATCH($B1761&amp;$C1761,'Smelter Look-up'!$J:$J,0)))</f>
        <v>#N/A</v>
      </c>
      <c r="X1761" s="219">
        <f t="shared" ca="1" si="250"/>
        <v>0</v>
      </c>
      <c r="AB1761" s="220" t="str">
        <f t="shared" si="251"/>
        <v/>
      </c>
    </row>
    <row r="1762" spans="1:28" s="219" customFormat="1" ht="20.25">
      <c r="A1762" s="174"/>
      <c r="B1762" s="175" t="str">
        <f>IF(LEN(A1762)=0,"",INDEX('Smelter Look-up'!$A:$A,MATCH($A1762,'Smelter Look-up'!$E:$E,0)))</f>
        <v/>
      </c>
      <c r="C1762" s="179" t="str">
        <f>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49"/>
        <v/>
      </c>
      <c r="T1762" s="174" t="str">
        <f ca="1">IF(B1762="","",IF(ISERROR(MATCH($J1762,SorP!$B$1:$B$6279,0)),"",INDIRECT("'SorP'!$A$"&amp;MATCH($S1762&amp;$J1762,SorP!C:C,0))))</f>
        <v/>
      </c>
      <c r="U1762" s="194"/>
      <c r="V1762" s="218" t="e">
        <f>IF(C1762="",NA(),IF(OR(C1762="Smelter not listed",C1762="Smelter not yet identified"),MATCH($B1762&amp;$D1762,'Smelter Look-up'!$J:$J,0),MATCH($B1762&amp;$C1762,'Smelter Look-up'!$J:$J,0)))</f>
        <v>#N/A</v>
      </c>
      <c r="X1762" s="219">
        <f t="shared" ca="1" si="250"/>
        <v>0</v>
      </c>
      <c r="AB1762" s="220" t="str">
        <f t="shared" si="251"/>
        <v/>
      </c>
    </row>
    <row r="1763" spans="1:28" s="219" customFormat="1" ht="20.25">
      <c r="A1763" s="174"/>
      <c r="B1763" s="175" t="str">
        <f>IF(LEN(A1763)=0,"",INDEX('Smelter Look-up'!$A:$A,MATCH($A1763,'Smelter Look-up'!$E:$E,0)))</f>
        <v/>
      </c>
      <c r="C1763" s="179" t="str">
        <f>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49"/>
        <v/>
      </c>
      <c r="T1763" s="174" t="str">
        <f ca="1">IF(B1763="","",IF(ISERROR(MATCH($J1763,SorP!$B$1:$B$6279,0)),"",INDIRECT("'SorP'!$A$"&amp;MATCH($S1763&amp;$J1763,SorP!C:C,0))))</f>
        <v/>
      </c>
      <c r="U1763" s="194"/>
      <c r="V1763" s="218" t="e">
        <f>IF(C1763="",NA(),IF(OR(C1763="Smelter not listed",C1763="Smelter not yet identified"),MATCH($B1763&amp;$D1763,'Smelter Look-up'!$J:$J,0),MATCH($B1763&amp;$C1763,'Smelter Look-up'!$J:$J,0)))</f>
        <v>#N/A</v>
      </c>
      <c r="X1763" s="219">
        <f t="shared" ca="1" si="250"/>
        <v>0</v>
      </c>
      <c r="AB1763" s="220" t="str">
        <f t="shared" si="251"/>
        <v/>
      </c>
    </row>
    <row r="1764" spans="1:28" s="219" customFormat="1" ht="20.25">
      <c r="A1764" s="174"/>
      <c r="B1764" s="175" t="str">
        <f>IF(LEN(A1764)=0,"",INDEX('Smelter Look-up'!$A:$A,MATCH($A1764,'Smelter Look-up'!$E:$E,0)))</f>
        <v/>
      </c>
      <c r="C1764" s="179" t="str">
        <f>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49"/>
        <v/>
      </c>
      <c r="T1764" s="174" t="str">
        <f ca="1">IF(B1764="","",IF(ISERROR(MATCH($J1764,SorP!$B$1:$B$6279,0)),"",INDIRECT("'SorP'!$A$"&amp;MATCH($S1764&amp;$J1764,SorP!C:C,0))))</f>
        <v/>
      </c>
      <c r="U1764" s="194"/>
      <c r="V1764" s="218" t="e">
        <f>IF(C1764="",NA(),IF(OR(C1764="Smelter not listed",C1764="Smelter not yet identified"),MATCH($B1764&amp;$D1764,'Smelter Look-up'!$J:$J,0),MATCH($B1764&amp;$C1764,'Smelter Look-up'!$J:$J,0)))</f>
        <v>#N/A</v>
      </c>
      <c r="X1764" s="219">
        <f t="shared" ca="1" si="250"/>
        <v>0</v>
      </c>
      <c r="AB1764" s="220" t="str">
        <f t="shared" si="251"/>
        <v/>
      </c>
    </row>
    <row r="1765" spans="1:28" s="219" customFormat="1" ht="20.25">
      <c r="A1765" s="174"/>
      <c r="B1765" s="175" t="str">
        <f>IF(LEN(A1765)=0,"",INDEX('Smelter Look-up'!$A:$A,MATCH($A1765,'Smelter Look-up'!$E:$E,0)))</f>
        <v/>
      </c>
      <c r="C1765" s="179" t="str">
        <f>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49"/>
        <v/>
      </c>
      <c r="T1765" s="174" t="str">
        <f ca="1">IF(B1765="","",IF(ISERROR(MATCH($J1765,SorP!$B$1:$B$6279,0)),"",INDIRECT("'SorP'!$A$"&amp;MATCH($S1765&amp;$J1765,SorP!C:C,0))))</f>
        <v/>
      </c>
      <c r="U1765" s="194"/>
      <c r="V1765" s="218" t="e">
        <f>IF(C1765="",NA(),IF(OR(C1765="Smelter not listed",C1765="Smelter not yet identified"),MATCH($B1765&amp;$D1765,'Smelter Look-up'!$J:$J,0),MATCH($B1765&amp;$C1765,'Smelter Look-up'!$J:$J,0)))</f>
        <v>#N/A</v>
      </c>
      <c r="X1765" s="219">
        <f t="shared" ca="1" si="250"/>
        <v>0</v>
      </c>
      <c r="AB1765" s="220" t="str">
        <f t="shared" si="251"/>
        <v/>
      </c>
    </row>
    <row r="1766" spans="1:28" s="219" customFormat="1" ht="20.25">
      <c r="A1766" s="174"/>
      <c r="B1766" s="175" t="str">
        <f>IF(LEN(A1766)=0,"",INDEX('Smelter Look-up'!$A:$A,MATCH($A1766,'Smelter Look-up'!$E:$E,0)))</f>
        <v/>
      </c>
      <c r="C1766" s="179" t="str">
        <f>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49"/>
        <v/>
      </c>
      <c r="T1766" s="174" t="str">
        <f ca="1">IF(B1766="","",IF(ISERROR(MATCH($J1766,SorP!$B$1:$B$6279,0)),"",INDIRECT("'SorP'!$A$"&amp;MATCH($S1766&amp;$J1766,SorP!C:C,0))))</f>
        <v/>
      </c>
      <c r="U1766" s="194"/>
      <c r="V1766" s="218" t="e">
        <f>IF(C1766="",NA(),IF(OR(C1766="Smelter not listed",C1766="Smelter not yet identified"),MATCH($B1766&amp;$D1766,'Smelter Look-up'!$J:$J,0),MATCH($B1766&amp;$C1766,'Smelter Look-up'!$J:$J,0)))</f>
        <v>#N/A</v>
      </c>
      <c r="X1766" s="219">
        <f t="shared" ca="1" si="250"/>
        <v>0</v>
      </c>
      <c r="AB1766" s="220" t="str">
        <f t="shared" si="251"/>
        <v/>
      </c>
    </row>
    <row r="1767" spans="1:28" s="219" customFormat="1" ht="20.25">
      <c r="A1767" s="174"/>
      <c r="B1767" s="175" t="str">
        <f>IF(LEN(A1767)=0,"",INDEX('Smelter Look-up'!$A:$A,MATCH($A1767,'Smelter Look-up'!$E:$E,0)))</f>
        <v/>
      </c>
      <c r="C1767" s="179" t="str">
        <f>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49"/>
        <v/>
      </c>
      <c r="T1767" s="174" t="str">
        <f ca="1">IF(B1767="","",IF(ISERROR(MATCH($J1767,SorP!$B$1:$B$6279,0)),"",INDIRECT("'SorP'!$A$"&amp;MATCH($S1767&amp;$J1767,SorP!C:C,0))))</f>
        <v/>
      </c>
      <c r="U1767" s="194"/>
      <c r="V1767" s="218" t="e">
        <f>IF(C1767="",NA(),IF(OR(C1767="Smelter not listed",C1767="Smelter not yet identified"),MATCH($B1767&amp;$D1767,'Smelter Look-up'!$J:$J,0),MATCH($B1767&amp;$C1767,'Smelter Look-up'!$J:$J,0)))</f>
        <v>#N/A</v>
      </c>
      <c r="X1767" s="219">
        <f t="shared" ca="1" si="250"/>
        <v>0</v>
      </c>
      <c r="AB1767" s="220" t="str">
        <f t="shared" si="251"/>
        <v/>
      </c>
    </row>
    <row r="1768" spans="1:28" s="219" customFormat="1" ht="20.25">
      <c r="A1768" s="174"/>
      <c r="B1768" s="175" t="str">
        <f>IF(LEN(A1768)=0,"",INDEX('Smelter Look-up'!$A:$A,MATCH($A1768,'Smelter Look-up'!$E:$E,0)))</f>
        <v/>
      </c>
      <c r="C1768" s="179" t="str">
        <f>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49"/>
        <v/>
      </c>
      <c r="T1768" s="174" t="str">
        <f ca="1">IF(B1768="","",IF(ISERROR(MATCH($J1768,SorP!$B$1:$B$6279,0)),"",INDIRECT("'SorP'!$A$"&amp;MATCH($S1768&amp;$J1768,SorP!C:C,0))))</f>
        <v/>
      </c>
      <c r="U1768" s="194"/>
      <c r="V1768" s="218" t="e">
        <f>IF(C1768="",NA(),IF(OR(C1768="Smelter not listed",C1768="Smelter not yet identified"),MATCH($B1768&amp;$D1768,'Smelter Look-up'!$J:$J,0),MATCH($B1768&amp;$C1768,'Smelter Look-up'!$J:$J,0)))</f>
        <v>#N/A</v>
      </c>
      <c r="X1768" s="219">
        <f t="shared" ca="1" si="250"/>
        <v>0</v>
      </c>
      <c r="AB1768" s="220" t="str">
        <f t="shared" si="251"/>
        <v/>
      </c>
    </row>
    <row r="1769" spans="1:28" s="219" customFormat="1" ht="20.25">
      <c r="A1769" s="174"/>
      <c r="B1769" s="175" t="str">
        <f>IF(LEN(A1769)=0,"",INDEX('Smelter Look-up'!$A:$A,MATCH($A1769,'Smelter Look-up'!$E:$E,0)))</f>
        <v/>
      </c>
      <c r="C1769" s="179" t="str">
        <f>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49"/>
        <v/>
      </c>
      <c r="T1769" s="174" t="str">
        <f ca="1">IF(B1769="","",IF(ISERROR(MATCH($J1769,SorP!$B$1:$B$6279,0)),"",INDIRECT("'SorP'!$A$"&amp;MATCH($S1769&amp;$J1769,SorP!C:C,0))))</f>
        <v/>
      </c>
      <c r="U1769" s="194"/>
      <c r="V1769" s="218" t="e">
        <f>IF(C1769="",NA(),IF(OR(C1769="Smelter not listed",C1769="Smelter not yet identified"),MATCH($B1769&amp;$D1769,'Smelter Look-up'!$J:$J,0),MATCH($B1769&amp;$C1769,'Smelter Look-up'!$J:$J,0)))</f>
        <v>#N/A</v>
      </c>
      <c r="X1769" s="219">
        <f t="shared" ca="1" si="250"/>
        <v>0</v>
      </c>
      <c r="AB1769" s="220" t="str">
        <f t="shared" si="251"/>
        <v/>
      </c>
    </row>
    <row r="1770" spans="1:28" s="219" customFormat="1" ht="20.25">
      <c r="A1770" s="174"/>
      <c r="B1770" s="175" t="str">
        <f>IF(LEN(A1770)=0,"",INDEX('Smelter Look-up'!$A:$A,MATCH($A1770,'Smelter Look-up'!$E:$E,0)))</f>
        <v/>
      </c>
      <c r="C1770" s="179" t="str">
        <f>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49"/>
        <v/>
      </c>
      <c r="T1770" s="174" t="str">
        <f ca="1">IF(B1770="","",IF(ISERROR(MATCH($J1770,SorP!$B$1:$B$6279,0)),"",INDIRECT("'SorP'!$A$"&amp;MATCH($S1770&amp;$J1770,SorP!C:C,0))))</f>
        <v/>
      </c>
      <c r="U1770" s="194"/>
      <c r="V1770" s="218" t="e">
        <f>IF(C1770="",NA(),IF(OR(C1770="Smelter not listed",C1770="Smelter not yet identified"),MATCH($B1770&amp;$D1770,'Smelter Look-up'!$J:$J,0),MATCH($B1770&amp;$C1770,'Smelter Look-up'!$J:$J,0)))</f>
        <v>#N/A</v>
      </c>
      <c r="X1770" s="219">
        <f t="shared" ca="1" si="250"/>
        <v>0</v>
      </c>
      <c r="AB1770" s="220" t="str">
        <f t="shared" si="251"/>
        <v/>
      </c>
    </row>
    <row r="1771" spans="1:28" s="219" customFormat="1" ht="20.25">
      <c r="A1771" s="174"/>
      <c r="B1771" s="175" t="str">
        <f>IF(LEN(A1771)=0,"",INDEX('Smelter Look-up'!$A:$A,MATCH($A1771,'Smelter Look-up'!$E:$E,0)))</f>
        <v/>
      </c>
      <c r="C1771" s="179" t="str">
        <f>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49"/>
        <v/>
      </c>
      <c r="T1771" s="174" t="str">
        <f ca="1">IF(B1771="","",IF(ISERROR(MATCH($J1771,SorP!$B$1:$B$6279,0)),"",INDIRECT("'SorP'!$A$"&amp;MATCH($S1771&amp;$J1771,SorP!C:C,0))))</f>
        <v/>
      </c>
      <c r="U1771" s="194"/>
      <c r="V1771" s="218" t="e">
        <f>IF(C1771="",NA(),IF(OR(C1771="Smelter not listed",C1771="Smelter not yet identified"),MATCH($B1771&amp;$D1771,'Smelter Look-up'!$J:$J,0),MATCH($B1771&amp;$C1771,'Smelter Look-up'!$J:$J,0)))</f>
        <v>#N/A</v>
      </c>
      <c r="X1771" s="219">
        <f t="shared" ca="1" si="250"/>
        <v>0</v>
      </c>
      <c r="AB1771" s="220" t="str">
        <f t="shared" si="251"/>
        <v/>
      </c>
    </row>
    <row r="1772" spans="1:28" s="219" customFormat="1" ht="20.25">
      <c r="A1772" s="174"/>
      <c r="B1772" s="175" t="str">
        <f>IF(LEN(A1772)=0,"",INDEX('Smelter Look-up'!$A:$A,MATCH($A1772,'Smelter Look-up'!$E:$E,0)))</f>
        <v/>
      </c>
      <c r="C1772" s="179" t="str">
        <f>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49"/>
        <v/>
      </c>
      <c r="T1772" s="174" t="str">
        <f ca="1">IF(B1772="","",IF(ISERROR(MATCH($J1772,SorP!$B$1:$B$6279,0)),"",INDIRECT("'SorP'!$A$"&amp;MATCH($S1772&amp;$J1772,SorP!C:C,0))))</f>
        <v/>
      </c>
      <c r="U1772" s="194"/>
      <c r="V1772" s="218" t="e">
        <f>IF(C1772="",NA(),IF(OR(C1772="Smelter not listed",C1772="Smelter not yet identified"),MATCH($B1772&amp;$D1772,'Smelter Look-up'!$J:$J,0),MATCH($B1772&amp;$C1772,'Smelter Look-up'!$J:$J,0)))</f>
        <v>#N/A</v>
      </c>
      <c r="X1772" s="219">
        <f t="shared" ca="1" si="250"/>
        <v>0</v>
      </c>
      <c r="AB1772" s="220" t="str">
        <f t="shared" si="251"/>
        <v/>
      </c>
    </row>
    <row r="1773" spans="1:28" s="219" customFormat="1" ht="20.25">
      <c r="A1773" s="174"/>
      <c r="B1773" s="175" t="str">
        <f>IF(LEN(A1773)=0,"",INDEX('Smelter Look-up'!$A:$A,MATCH($A1773,'Smelter Look-up'!$E:$E,0)))</f>
        <v/>
      </c>
      <c r="C1773" s="179" t="str">
        <f>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49"/>
        <v/>
      </c>
      <c r="T1773" s="174" t="str">
        <f ca="1">IF(B1773="","",IF(ISERROR(MATCH($J1773,SorP!$B$1:$B$6279,0)),"",INDIRECT("'SorP'!$A$"&amp;MATCH($S1773&amp;$J1773,SorP!C:C,0))))</f>
        <v/>
      </c>
      <c r="U1773" s="194"/>
      <c r="V1773" s="218" t="e">
        <f>IF(C1773="",NA(),IF(OR(C1773="Smelter not listed",C1773="Smelter not yet identified"),MATCH($B1773&amp;$D1773,'Smelter Look-up'!$J:$J,0),MATCH($B1773&amp;$C1773,'Smelter Look-up'!$J:$J,0)))</f>
        <v>#N/A</v>
      </c>
      <c r="X1773" s="219">
        <f t="shared" ca="1" si="250"/>
        <v>0</v>
      </c>
      <c r="AB1773" s="220" t="str">
        <f t="shared" si="251"/>
        <v/>
      </c>
    </row>
    <row r="1774" spans="1:28" s="219" customFormat="1" ht="20.25">
      <c r="A1774" s="174"/>
      <c r="B1774" s="175" t="str">
        <f>IF(LEN(A1774)=0,"",INDEX('Smelter Look-up'!$A:$A,MATCH($A1774,'Smelter Look-up'!$E:$E,0)))</f>
        <v/>
      </c>
      <c r="C1774" s="179" t="str">
        <f>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49"/>
        <v/>
      </c>
      <c r="T1774" s="174" t="str">
        <f ca="1">IF(B1774="","",IF(ISERROR(MATCH($J1774,SorP!$B$1:$B$6279,0)),"",INDIRECT("'SorP'!$A$"&amp;MATCH($S1774&amp;$J1774,SorP!C:C,0))))</f>
        <v/>
      </c>
      <c r="U1774" s="194"/>
      <c r="V1774" s="218" t="e">
        <f>IF(C1774="",NA(),IF(OR(C1774="Smelter not listed",C1774="Smelter not yet identified"),MATCH($B1774&amp;$D1774,'Smelter Look-up'!$J:$J,0),MATCH($B1774&amp;$C1774,'Smelter Look-up'!$J:$J,0)))</f>
        <v>#N/A</v>
      </c>
      <c r="X1774" s="219">
        <f t="shared" ca="1" si="250"/>
        <v>0</v>
      </c>
      <c r="AB1774" s="220" t="str">
        <f t="shared" si="251"/>
        <v/>
      </c>
    </row>
    <row r="1775" spans="1:28" s="219" customFormat="1" ht="20.25">
      <c r="A1775" s="174"/>
      <c r="B1775" s="175" t="str">
        <f>IF(LEN(A1775)=0,"",INDEX('Smelter Look-up'!$A:$A,MATCH($A1775,'Smelter Look-up'!$E:$E,0)))</f>
        <v/>
      </c>
      <c r="C1775" s="179" t="str">
        <f>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49"/>
        <v/>
      </c>
      <c r="T1775" s="174" t="str">
        <f ca="1">IF(B1775="","",IF(ISERROR(MATCH($J1775,SorP!$B$1:$B$6279,0)),"",INDIRECT("'SorP'!$A$"&amp;MATCH($S1775&amp;$J1775,SorP!C:C,0))))</f>
        <v/>
      </c>
      <c r="U1775" s="194"/>
      <c r="V1775" s="218" t="e">
        <f>IF(C1775="",NA(),IF(OR(C1775="Smelter not listed",C1775="Smelter not yet identified"),MATCH($B1775&amp;$D1775,'Smelter Look-up'!$J:$J,0),MATCH($B1775&amp;$C1775,'Smelter Look-up'!$J:$J,0)))</f>
        <v>#N/A</v>
      </c>
      <c r="X1775" s="219">
        <f t="shared" ca="1" si="250"/>
        <v>0</v>
      </c>
      <c r="AB1775" s="220" t="str">
        <f t="shared" si="251"/>
        <v/>
      </c>
    </row>
    <row r="1776" spans="1:28" s="219" customFormat="1" ht="20.25">
      <c r="A1776" s="174"/>
      <c r="B1776" s="175" t="str">
        <f>IF(LEN(A1776)=0,"",INDEX('Smelter Look-up'!$A:$A,MATCH($A1776,'Smelter Look-up'!$E:$E,0)))</f>
        <v/>
      </c>
      <c r="C1776" s="179" t="str">
        <f>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49"/>
        <v/>
      </c>
      <c r="T1776" s="174" t="str">
        <f ca="1">IF(B1776="","",IF(ISERROR(MATCH($J1776,SorP!$B$1:$B$6279,0)),"",INDIRECT("'SorP'!$A$"&amp;MATCH($S1776&amp;$J1776,SorP!C:C,0))))</f>
        <v/>
      </c>
      <c r="U1776" s="194"/>
      <c r="V1776" s="218" t="e">
        <f>IF(C1776="",NA(),IF(OR(C1776="Smelter not listed",C1776="Smelter not yet identified"),MATCH($B1776&amp;$D1776,'Smelter Look-up'!$J:$J,0),MATCH($B1776&amp;$C1776,'Smelter Look-up'!$J:$J,0)))</f>
        <v>#N/A</v>
      </c>
      <c r="X1776" s="219">
        <f t="shared" ca="1" si="250"/>
        <v>0</v>
      </c>
      <c r="AB1776" s="220" t="str">
        <f t="shared" si="251"/>
        <v/>
      </c>
    </row>
    <row r="1777" spans="1:28" s="219" customFormat="1" ht="20.25">
      <c r="A1777" s="174"/>
      <c r="B1777" s="175" t="str">
        <f>IF(LEN(A1777)=0,"",INDEX('Smelter Look-up'!$A:$A,MATCH($A1777,'Smelter Look-up'!$E:$E,0)))</f>
        <v/>
      </c>
      <c r="C1777" s="179" t="str">
        <f>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49"/>
        <v/>
      </c>
      <c r="T1777" s="174" t="str">
        <f ca="1">IF(B1777="","",IF(ISERROR(MATCH($J1777,SorP!$B$1:$B$6279,0)),"",INDIRECT("'SorP'!$A$"&amp;MATCH($S1777&amp;$J1777,SorP!C:C,0))))</f>
        <v/>
      </c>
      <c r="U1777" s="194"/>
      <c r="V1777" s="218" t="e">
        <f>IF(C1777="",NA(),IF(OR(C1777="Smelter not listed",C1777="Smelter not yet identified"),MATCH($B1777&amp;$D1777,'Smelter Look-up'!$J:$J,0),MATCH($B1777&amp;$C1777,'Smelter Look-up'!$J:$J,0)))</f>
        <v>#N/A</v>
      </c>
      <c r="X1777" s="219">
        <f t="shared" ca="1" si="250"/>
        <v>0</v>
      </c>
      <c r="AB1777" s="220" t="str">
        <f t="shared" si="251"/>
        <v/>
      </c>
    </row>
    <row r="1778" spans="1:28" s="219" customFormat="1" ht="20.25">
      <c r="A1778" s="174"/>
      <c r="B1778" s="175" t="str">
        <f>IF(LEN(A1778)=0,"",INDEX('Smelter Look-up'!$A:$A,MATCH($A1778,'Smelter Look-up'!$E:$E,0)))</f>
        <v/>
      </c>
      <c r="C1778" s="179" t="str">
        <f>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49"/>
        <v/>
      </c>
      <c r="T1778" s="174" t="str">
        <f ca="1">IF(B1778="","",IF(ISERROR(MATCH($J1778,SorP!$B$1:$B$6279,0)),"",INDIRECT("'SorP'!$A$"&amp;MATCH($S1778&amp;$J1778,SorP!C:C,0))))</f>
        <v/>
      </c>
      <c r="U1778" s="194"/>
      <c r="V1778" s="218" t="e">
        <f>IF(C1778="",NA(),IF(OR(C1778="Smelter not listed",C1778="Smelter not yet identified"),MATCH($B1778&amp;$D1778,'Smelter Look-up'!$J:$J,0),MATCH($B1778&amp;$C1778,'Smelter Look-up'!$J:$J,0)))</f>
        <v>#N/A</v>
      </c>
      <c r="X1778" s="219">
        <f t="shared" ca="1" si="250"/>
        <v>0</v>
      </c>
      <c r="AB1778" s="220" t="str">
        <f t="shared" si="251"/>
        <v/>
      </c>
    </row>
    <row r="1779" spans="1:28" s="219" customFormat="1" ht="20.25">
      <c r="A1779" s="174"/>
      <c r="B1779" s="175" t="str">
        <f>IF(LEN(A1779)=0,"",INDEX('Smelter Look-up'!$A:$A,MATCH($A1779,'Smelter Look-up'!$E:$E,0)))</f>
        <v/>
      </c>
      <c r="C1779" s="179" t="str">
        <f>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249"/>
        <v/>
      </c>
      <c r="T1779" s="174" t="str">
        <f ca="1">IF(B1779="","",IF(ISERROR(MATCH($J1779,SorP!$B$1:$B$6279,0)),"",INDIRECT("'SorP'!$A$"&amp;MATCH($S1779&amp;$J1779,SorP!C:C,0))))</f>
        <v/>
      </c>
      <c r="U1779" s="194"/>
      <c r="V1779" s="218" t="e">
        <f>IF(C1779="",NA(),IF(OR(C1779="Smelter not listed",C1779="Smelter not yet identified"),MATCH($B1779&amp;$D1779,'Smelter Look-up'!$J:$J,0),MATCH($B1779&amp;$C1779,'Smelter Look-up'!$J:$J,0)))</f>
        <v>#N/A</v>
      </c>
      <c r="X1779" s="219">
        <f t="shared" ca="1" si="250"/>
        <v>0</v>
      </c>
      <c r="AB1779" s="220" t="str">
        <f t="shared" si="251"/>
        <v/>
      </c>
    </row>
    <row r="1780" spans="1:28" s="219" customFormat="1" ht="20.25">
      <c r="A1780" s="174"/>
      <c r="B1780" s="175" t="str">
        <f>IF(LEN(A1780)=0,"",INDEX('Smelter Look-up'!$A:$A,MATCH($A1780,'Smelter Look-up'!$E:$E,0)))</f>
        <v/>
      </c>
      <c r="C1780" s="179" t="str">
        <f>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49"/>
        <v/>
      </c>
      <c r="T1780" s="174" t="str">
        <f ca="1">IF(B1780="","",IF(ISERROR(MATCH($J1780,SorP!$B$1:$B$6279,0)),"",INDIRECT("'SorP'!$A$"&amp;MATCH($S1780&amp;$J1780,SorP!C:C,0))))</f>
        <v/>
      </c>
      <c r="U1780" s="194"/>
      <c r="V1780" s="218" t="e">
        <f>IF(C1780="",NA(),IF(OR(C1780="Smelter not listed",C1780="Smelter not yet identified"),MATCH($B1780&amp;$D1780,'Smelter Look-up'!$J:$J,0),MATCH($B1780&amp;$C1780,'Smelter Look-up'!$J:$J,0)))</f>
        <v>#N/A</v>
      </c>
      <c r="X1780" s="219">
        <f t="shared" ca="1" si="250"/>
        <v>0</v>
      </c>
      <c r="AB1780" s="220" t="str">
        <f t="shared" si="251"/>
        <v/>
      </c>
    </row>
    <row r="1781" spans="1:28" s="219" customFormat="1" ht="20.25">
      <c r="A1781" s="174"/>
      <c r="B1781" s="175" t="str">
        <f>IF(LEN(A1781)=0,"",INDEX('Smelter Look-up'!$A:$A,MATCH($A1781,'Smelter Look-up'!$E:$E,0)))</f>
        <v/>
      </c>
      <c r="C1781" s="179" t="str">
        <f>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49"/>
        <v/>
      </c>
      <c r="T1781" s="174" t="str">
        <f ca="1">IF(B1781="","",IF(ISERROR(MATCH($J1781,SorP!$B$1:$B$6279,0)),"",INDIRECT("'SorP'!$A$"&amp;MATCH($S1781&amp;$J1781,SorP!C:C,0))))</f>
        <v/>
      </c>
      <c r="U1781" s="194"/>
      <c r="V1781" s="218" t="e">
        <f>IF(C1781="",NA(),IF(OR(C1781="Smelter not listed",C1781="Smelter not yet identified"),MATCH($B1781&amp;$D1781,'Smelter Look-up'!$J:$J,0),MATCH($B1781&amp;$C1781,'Smelter Look-up'!$J:$J,0)))</f>
        <v>#N/A</v>
      </c>
      <c r="X1781" s="219">
        <f t="shared" ca="1" si="250"/>
        <v>0</v>
      </c>
      <c r="AB1781" s="220" t="str">
        <f t="shared" si="251"/>
        <v/>
      </c>
    </row>
    <row r="1782" spans="1:28" s="219" customFormat="1" ht="20.25">
      <c r="A1782" s="174"/>
      <c r="B1782" s="175" t="str">
        <f>IF(LEN(A1782)=0,"",INDEX('Smelter Look-up'!$A:$A,MATCH($A1782,'Smelter Look-up'!$E:$E,0)))</f>
        <v/>
      </c>
      <c r="C1782" s="179" t="str">
        <f>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49"/>
        <v/>
      </c>
      <c r="T1782" s="174" t="str">
        <f ca="1">IF(B1782="","",IF(ISERROR(MATCH($J1782,SorP!$B$1:$B$6279,0)),"",INDIRECT("'SorP'!$A$"&amp;MATCH($S1782&amp;$J1782,SorP!C:C,0))))</f>
        <v/>
      </c>
      <c r="U1782" s="194"/>
      <c r="V1782" s="218" t="e">
        <f>IF(C1782="",NA(),IF(OR(C1782="Smelter not listed",C1782="Smelter not yet identified"),MATCH($B1782&amp;$D1782,'Smelter Look-up'!$J:$J,0),MATCH($B1782&amp;$C1782,'Smelter Look-up'!$J:$J,0)))</f>
        <v>#N/A</v>
      </c>
      <c r="X1782" s="219">
        <f t="shared" ca="1" si="250"/>
        <v>0</v>
      </c>
      <c r="AB1782" s="220" t="str">
        <f t="shared" si="251"/>
        <v/>
      </c>
    </row>
    <row r="1783" spans="1:28" s="219" customFormat="1" ht="20.25">
      <c r="A1783" s="174"/>
      <c r="B1783" s="175" t="str">
        <f>IF(LEN(A1783)=0,"",INDEX('Smelter Look-up'!$A:$A,MATCH($A1783,'Smelter Look-up'!$E:$E,0)))</f>
        <v/>
      </c>
      <c r="C1783" s="179" t="str">
        <f>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49"/>
        <v/>
      </c>
      <c r="T1783" s="174" t="str">
        <f ca="1">IF(B1783="","",IF(ISERROR(MATCH($J1783,SorP!$B$1:$B$6279,0)),"",INDIRECT("'SorP'!$A$"&amp;MATCH($S1783&amp;$J1783,SorP!C:C,0))))</f>
        <v/>
      </c>
      <c r="U1783" s="194"/>
      <c r="V1783" s="218" t="e">
        <f>IF(C1783="",NA(),IF(OR(C1783="Smelter not listed",C1783="Smelter not yet identified"),MATCH($B1783&amp;$D1783,'Smelter Look-up'!$J:$J,0),MATCH($B1783&amp;$C1783,'Smelter Look-up'!$J:$J,0)))</f>
        <v>#N/A</v>
      </c>
      <c r="X1783" s="219">
        <f t="shared" ca="1" si="250"/>
        <v>0</v>
      </c>
      <c r="AB1783" s="220" t="str">
        <f t="shared" si="251"/>
        <v/>
      </c>
    </row>
    <row r="1784" spans="1:28" s="219" customFormat="1" ht="20.25">
      <c r="A1784" s="174"/>
      <c r="B1784" s="175" t="str">
        <f>IF(LEN(A1784)=0,"",INDEX('Smelter Look-up'!$A:$A,MATCH($A1784,'Smelter Look-up'!$E:$E,0)))</f>
        <v/>
      </c>
      <c r="C1784" s="179" t="str">
        <f>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49"/>
        <v/>
      </c>
      <c r="T1784" s="174" t="str">
        <f ca="1">IF(B1784="","",IF(ISERROR(MATCH($J1784,SorP!$B$1:$B$6279,0)),"",INDIRECT("'SorP'!$A$"&amp;MATCH($S1784&amp;$J1784,SorP!C:C,0))))</f>
        <v/>
      </c>
      <c r="U1784" s="194"/>
      <c r="V1784" s="218" t="e">
        <f>IF(C1784="",NA(),IF(OR(C1784="Smelter not listed",C1784="Smelter not yet identified"),MATCH($B1784&amp;$D1784,'Smelter Look-up'!$J:$J,0),MATCH($B1784&amp;$C1784,'Smelter Look-up'!$J:$J,0)))</f>
        <v>#N/A</v>
      </c>
      <c r="X1784" s="219">
        <f t="shared" ca="1" si="250"/>
        <v>0</v>
      </c>
      <c r="AB1784" s="220" t="str">
        <f t="shared" si="251"/>
        <v/>
      </c>
    </row>
    <row r="1785" spans="1:28" s="219" customFormat="1" ht="20.25">
      <c r="A1785" s="174"/>
      <c r="B1785" s="175" t="str">
        <f>IF(LEN(A1785)=0,"",INDEX('Smelter Look-up'!$A:$A,MATCH($A1785,'Smelter Look-up'!$E:$E,0)))</f>
        <v/>
      </c>
      <c r="C1785" s="179" t="str">
        <f>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249"/>
        <v/>
      </c>
      <c r="T1785" s="174" t="str">
        <f ca="1">IF(B1785="","",IF(ISERROR(MATCH($J1785,SorP!$B$1:$B$6279,0)),"",INDIRECT("'SorP'!$A$"&amp;MATCH($S1785&amp;$J1785,SorP!C:C,0))))</f>
        <v/>
      </c>
      <c r="U1785" s="194"/>
      <c r="V1785" s="218" t="e">
        <f>IF(C1785="",NA(),IF(OR(C1785="Smelter not listed",C1785="Smelter not yet identified"),MATCH($B1785&amp;$D1785,'Smelter Look-up'!$J:$J,0),MATCH($B1785&amp;$C1785,'Smelter Look-up'!$J:$J,0)))</f>
        <v>#N/A</v>
      </c>
      <c r="X1785" s="219">
        <f t="shared" ca="1" si="250"/>
        <v>0</v>
      </c>
      <c r="AB1785" s="220" t="str">
        <f t="shared" si="251"/>
        <v/>
      </c>
    </row>
    <row r="1786" spans="1:28" s="219" customFormat="1" ht="20.25">
      <c r="A1786" s="174"/>
      <c r="B1786" s="175" t="str">
        <f>IF(LEN(A1786)=0,"",INDEX('Smelter Look-up'!$A:$A,MATCH($A1786,'Smelter Look-up'!$E:$E,0)))</f>
        <v/>
      </c>
      <c r="C1786" s="179" t="str">
        <f>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ca="1" si="249"/>
        <v/>
      </c>
      <c r="T1786" s="174" t="str">
        <f ca="1">IF(B1786="","",IF(ISERROR(MATCH($J1786,SorP!$B$1:$B$6279,0)),"",INDIRECT("'SorP'!$A$"&amp;MATCH($S1786&amp;$J1786,SorP!C:C,0))))</f>
        <v/>
      </c>
      <c r="U1786" s="194"/>
      <c r="V1786" s="218" t="e">
        <f>IF(C1786="",NA(),IF(OR(C1786="Smelter not listed",C1786="Smelter not yet identified"),MATCH($B1786&amp;$D1786,'Smelter Look-up'!$J:$J,0),MATCH($B1786&amp;$C1786,'Smelter Look-up'!$J:$J,0)))</f>
        <v>#N/A</v>
      </c>
      <c r="X1786" s="219">
        <f t="shared" ca="1" si="250"/>
        <v>0</v>
      </c>
      <c r="AB1786" s="220" t="str">
        <f t="shared" si="251"/>
        <v/>
      </c>
    </row>
    <row r="1787" spans="1:28" s="219" customFormat="1" ht="20.25">
      <c r="A1787" s="174"/>
      <c r="B1787" s="175" t="str">
        <f>IF(LEN(A1787)=0,"",INDEX('Smelter Look-up'!$A:$A,MATCH($A1787,'Smelter Look-up'!$E:$E,0)))</f>
        <v/>
      </c>
      <c r="C1787" s="179" t="str">
        <f>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ref="S1787" ca="1" si="252">IF(B1787="","",IF(ISERROR(MATCH($E1787,CL,0)),"Unknown",INDIRECT("'C'!$A$"&amp;MATCH($E1787,CL,0)+1)))</f>
        <v/>
      </c>
      <c r="T1787" s="174" t="str">
        <f ca="1">IF(B1787="","",IF(ISERROR(MATCH($J1787,SorP!$B$1:$B$6279,0)),"",INDIRECT("'SorP'!$A$"&amp;MATCH($S1787&amp;$J1787,SorP!C:C,0))))</f>
        <v/>
      </c>
      <c r="U1787" s="194"/>
      <c r="V1787" s="218" t="e">
        <f>IF(C1787="",NA(),IF(OR(C1787="Smelter not listed",C1787="Smelter not yet identified"),MATCH($B1787&amp;$D1787,'Smelter Look-up'!$J:$J,0),MATCH($B1787&amp;$C1787,'Smelter Look-up'!$J:$J,0)))</f>
        <v>#N/A</v>
      </c>
      <c r="X1787" s="219">
        <f t="shared" ref="X1787" ca="1" si="253">IF(AND(C1787="Smelter not listed",OR(LEN(D1787)=0,LEN(E1787)=0)),1,0)</f>
        <v>0</v>
      </c>
      <c r="AB1787" s="220" t="str">
        <f t="shared" ref="AB1787" si="254">B1787&amp;C1787</f>
        <v/>
      </c>
    </row>
    <row r="1788" spans="1:28" s="219" customFormat="1" ht="20.25">
      <c r="A1788" s="174"/>
      <c r="B1788" s="175" t="str">
        <f>IF(LEN(A1788)=0,"",INDEX('Smelter Look-up'!$A:$A,MATCH($A1788,'Smelter Look-up'!$E:$E,0)))</f>
        <v/>
      </c>
      <c r="C1788" s="179" t="str">
        <f>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ref="S1788:S1819" ca="1" si="255">IF(B1788="","",IF(ISERROR(MATCH($E1788,CL,0)),"Unknown",INDIRECT("'C'!$A$"&amp;MATCH($E1788,CL,0)+1)))</f>
        <v/>
      </c>
      <c r="T1788" s="174" t="str">
        <f ca="1">IF(B1788="","",IF(ISERROR(MATCH($J1788,SorP!$B$1:$B$6279,0)),"",INDIRECT("'SorP'!$A$"&amp;MATCH($S1788&amp;$J1788,SorP!C:C,0))))</f>
        <v/>
      </c>
      <c r="U1788" s="194"/>
      <c r="V1788" s="218" t="e">
        <f>IF(C1788="",NA(),IF(OR(C1788="Smelter not listed",C1788="Smelter not yet identified"),MATCH($B1788&amp;$D1788,'Smelter Look-up'!$J:$J,0),MATCH($B1788&amp;$C1788,'Smelter Look-up'!$J:$J,0)))</f>
        <v>#N/A</v>
      </c>
      <c r="X1788" s="219">
        <f t="shared" ref="X1788:X1819" ca="1" si="256">IF(AND(C1788="Smelter not listed",OR(LEN(D1788)=0,LEN(E1788)=0)),1,0)</f>
        <v>0</v>
      </c>
      <c r="AB1788" s="220" t="str">
        <f t="shared" ref="AB1788:AB1819" si="257">B1788&amp;C1788</f>
        <v/>
      </c>
    </row>
    <row r="1789" spans="1:28" s="219" customFormat="1" ht="20.25">
      <c r="A1789" s="174"/>
      <c r="B1789" s="175" t="str">
        <f>IF(LEN(A1789)=0,"",INDEX('Smelter Look-up'!$A:$A,MATCH($A1789,'Smelter Look-up'!$E:$E,0)))</f>
        <v/>
      </c>
      <c r="C1789" s="179" t="str">
        <f>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55"/>
        <v/>
      </c>
      <c r="T1789" s="174" t="str">
        <f ca="1">IF(B1789="","",IF(ISERROR(MATCH($J1789,SorP!$B$1:$B$6279,0)),"",INDIRECT("'SorP'!$A$"&amp;MATCH($S1789&amp;$J1789,SorP!C:C,0))))</f>
        <v/>
      </c>
      <c r="U1789" s="194"/>
      <c r="V1789" s="218" t="e">
        <f>IF(C1789="",NA(),IF(OR(C1789="Smelter not listed",C1789="Smelter not yet identified"),MATCH($B1789&amp;$D1789,'Smelter Look-up'!$J:$J,0),MATCH($B1789&amp;$C1789,'Smelter Look-up'!$J:$J,0)))</f>
        <v>#N/A</v>
      </c>
      <c r="X1789" s="219">
        <f t="shared" ca="1" si="256"/>
        <v>0</v>
      </c>
      <c r="AB1789" s="220" t="str">
        <f t="shared" si="257"/>
        <v/>
      </c>
    </row>
    <row r="1790" spans="1:28" s="219" customFormat="1" ht="20.25">
      <c r="A1790" s="174"/>
      <c r="B1790" s="175" t="str">
        <f>IF(LEN(A1790)=0,"",INDEX('Smelter Look-up'!$A:$A,MATCH($A1790,'Smelter Look-up'!$E:$E,0)))</f>
        <v/>
      </c>
      <c r="C1790" s="179" t="str">
        <f>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55"/>
        <v/>
      </c>
      <c r="T1790" s="174" t="str">
        <f ca="1">IF(B1790="","",IF(ISERROR(MATCH($J1790,SorP!$B$1:$B$6279,0)),"",INDIRECT("'SorP'!$A$"&amp;MATCH($S1790&amp;$J1790,SorP!C:C,0))))</f>
        <v/>
      </c>
      <c r="U1790" s="194"/>
      <c r="V1790" s="218" t="e">
        <f>IF(C1790="",NA(),IF(OR(C1790="Smelter not listed",C1790="Smelter not yet identified"),MATCH($B1790&amp;$D1790,'Smelter Look-up'!$J:$J,0),MATCH($B1790&amp;$C1790,'Smelter Look-up'!$J:$J,0)))</f>
        <v>#N/A</v>
      </c>
      <c r="X1790" s="219">
        <f t="shared" ca="1" si="256"/>
        <v>0</v>
      </c>
      <c r="AB1790" s="220" t="str">
        <f t="shared" si="257"/>
        <v/>
      </c>
    </row>
    <row r="1791" spans="1:28" s="219" customFormat="1" ht="20.25">
      <c r="A1791" s="174"/>
      <c r="B1791" s="175" t="str">
        <f>IF(LEN(A1791)=0,"",INDEX('Smelter Look-up'!$A:$A,MATCH($A1791,'Smelter Look-up'!$E:$E,0)))</f>
        <v/>
      </c>
      <c r="C1791" s="179" t="str">
        <f>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55"/>
        <v/>
      </c>
      <c r="T1791" s="174" t="str">
        <f ca="1">IF(B1791="","",IF(ISERROR(MATCH($J1791,SorP!$B$1:$B$6279,0)),"",INDIRECT("'SorP'!$A$"&amp;MATCH($S1791&amp;$J1791,SorP!C:C,0))))</f>
        <v/>
      </c>
      <c r="U1791" s="194"/>
      <c r="V1791" s="218" t="e">
        <f>IF(C1791="",NA(),IF(OR(C1791="Smelter not listed",C1791="Smelter not yet identified"),MATCH($B1791&amp;$D1791,'Smelter Look-up'!$J:$J,0),MATCH($B1791&amp;$C1791,'Smelter Look-up'!$J:$J,0)))</f>
        <v>#N/A</v>
      </c>
      <c r="X1791" s="219">
        <f t="shared" ca="1" si="256"/>
        <v>0</v>
      </c>
      <c r="AB1791" s="220" t="str">
        <f t="shared" si="257"/>
        <v/>
      </c>
    </row>
    <row r="1792" spans="1:28" s="219" customFormat="1" ht="20.25">
      <c r="A1792" s="174"/>
      <c r="B1792" s="175" t="str">
        <f>IF(LEN(A1792)=0,"",INDEX('Smelter Look-up'!$A:$A,MATCH($A1792,'Smelter Look-up'!$E:$E,0)))</f>
        <v/>
      </c>
      <c r="C1792" s="179" t="str">
        <f>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55"/>
        <v/>
      </c>
      <c r="T1792" s="174" t="str">
        <f ca="1">IF(B1792="","",IF(ISERROR(MATCH($J1792,SorP!$B$1:$B$6279,0)),"",INDIRECT("'SorP'!$A$"&amp;MATCH($S1792&amp;$J1792,SorP!C:C,0))))</f>
        <v/>
      </c>
      <c r="U1792" s="194"/>
      <c r="V1792" s="218" t="e">
        <f>IF(C1792="",NA(),IF(OR(C1792="Smelter not listed",C1792="Smelter not yet identified"),MATCH($B1792&amp;$D1792,'Smelter Look-up'!$J:$J,0),MATCH($B1792&amp;$C1792,'Smelter Look-up'!$J:$J,0)))</f>
        <v>#N/A</v>
      </c>
      <c r="X1792" s="219">
        <f t="shared" ca="1" si="256"/>
        <v>0</v>
      </c>
      <c r="AB1792" s="220" t="str">
        <f t="shared" si="257"/>
        <v/>
      </c>
    </row>
    <row r="1793" spans="1:28" s="219" customFormat="1" ht="20.25">
      <c r="A1793" s="174"/>
      <c r="B1793" s="175" t="str">
        <f>IF(LEN(A1793)=0,"",INDEX('Smelter Look-up'!$A:$A,MATCH($A1793,'Smelter Look-up'!$E:$E,0)))</f>
        <v/>
      </c>
      <c r="C1793" s="179" t="str">
        <f>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55"/>
        <v/>
      </c>
      <c r="T1793" s="174" t="str">
        <f ca="1">IF(B1793="","",IF(ISERROR(MATCH($J1793,SorP!$B$1:$B$6279,0)),"",INDIRECT("'SorP'!$A$"&amp;MATCH($S1793&amp;$J1793,SorP!C:C,0))))</f>
        <v/>
      </c>
      <c r="U1793" s="194"/>
      <c r="V1793" s="218" t="e">
        <f>IF(C1793="",NA(),IF(OR(C1793="Smelter not listed",C1793="Smelter not yet identified"),MATCH($B1793&amp;$D1793,'Smelter Look-up'!$J:$J,0),MATCH($B1793&amp;$C1793,'Smelter Look-up'!$J:$J,0)))</f>
        <v>#N/A</v>
      </c>
      <c r="X1793" s="219">
        <f t="shared" ca="1" si="256"/>
        <v>0</v>
      </c>
      <c r="AB1793" s="220" t="str">
        <f t="shared" si="257"/>
        <v/>
      </c>
    </row>
    <row r="1794" spans="1:28" s="219" customFormat="1" ht="20.25">
      <c r="A1794" s="174"/>
      <c r="B1794" s="175" t="str">
        <f>IF(LEN(A1794)=0,"",INDEX('Smelter Look-up'!$A:$A,MATCH($A1794,'Smelter Look-up'!$E:$E,0)))</f>
        <v/>
      </c>
      <c r="C1794" s="179" t="str">
        <f>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55"/>
        <v/>
      </c>
      <c r="T1794" s="174" t="str">
        <f ca="1">IF(B1794="","",IF(ISERROR(MATCH($J1794,SorP!$B$1:$B$6279,0)),"",INDIRECT("'SorP'!$A$"&amp;MATCH($S1794&amp;$J1794,SorP!C:C,0))))</f>
        <v/>
      </c>
      <c r="U1794" s="194"/>
      <c r="V1794" s="218" t="e">
        <f>IF(C1794="",NA(),IF(OR(C1794="Smelter not listed",C1794="Smelter not yet identified"),MATCH($B1794&amp;$D1794,'Smelter Look-up'!$J:$J,0),MATCH($B1794&amp;$C1794,'Smelter Look-up'!$J:$J,0)))</f>
        <v>#N/A</v>
      </c>
      <c r="X1794" s="219">
        <f t="shared" ca="1" si="256"/>
        <v>0</v>
      </c>
      <c r="AB1794" s="220" t="str">
        <f t="shared" si="257"/>
        <v/>
      </c>
    </row>
    <row r="1795" spans="1:28" s="219" customFormat="1" ht="20.25">
      <c r="A1795" s="174"/>
      <c r="B1795" s="175" t="str">
        <f>IF(LEN(A1795)=0,"",INDEX('Smelter Look-up'!$A:$A,MATCH($A1795,'Smelter Look-up'!$E:$E,0)))</f>
        <v/>
      </c>
      <c r="C1795" s="179" t="str">
        <f>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55"/>
        <v/>
      </c>
      <c r="T1795" s="174" t="str">
        <f ca="1">IF(B1795="","",IF(ISERROR(MATCH($J1795,SorP!$B$1:$B$6279,0)),"",INDIRECT("'SorP'!$A$"&amp;MATCH($S1795&amp;$J1795,SorP!C:C,0))))</f>
        <v/>
      </c>
      <c r="U1795" s="194"/>
      <c r="V1795" s="218" t="e">
        <f>IF(C1795="",NA(),IF(OR(C1795="Smelter not listed",C1795="Smelter not yet identified"),MATCH($B1795&amp;$D1795,'Smelter Look-up'!$J:$J,0),MATCH($B1795&amp;$C1795,'Smelter Look-up'!$J:$J,0)))</f>
        <v>#N/A</v>
      </c>
      <c r="X1795" s="219">
        <f t="shared" ca="1" si="256"/>
        <v>0</v>
      </c>
      <c r="AB1795" s="220" t="str">
        <f t="shared" si="257"/>
        <v/>
      </c>
    </row>
    <row r="1796" spans="1:28" s="219" customFormat="1" ht="20.25">
      <c r="A1796" s="174"/>
      <c r="B1796" s="175" t="str">
        <f>IF(LEN(A1796)=0,"",INDEX('Smelter Look-up'!$A:$A,MATCH($A1796,'Smelter Look-up'!$E:$E,0)))</f>
        <v/>
      </c>
      <c r="C1796" s="179" t="str">
        <f>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55"/>
        <v/>
      </c>
      <c r="T1796" s="174" t="str">
        <f ca="1">IF(B1796="","",IF(ISERROR(MATCH($J1796,SorP!$B$1:$B$6279,0)),"",INDIRECT("'SorP'!$A$"&amp;MATCH($S1796&amp;$J1796,SorP!C:C,0))))</f>
        <v/>
      </c>
      <c r="U1796" s="194"/>
      <c r="V1796" s="218" t="e">
        <f>IF(C1796="",NA(),IF(OR(C1796="Smelter not listed",C1796="Smelter not yet identified"),MATCH($B1796&amp;$D1796,'Smelter Look-up'!$J:$J,0),MATCH($B1796&amp;$C1796,'Smelter Look-up'!$J:$J,0)))</f>
        <v>#N/A</v>
      </c>
      <c r="X1796" s="219">
        <f t="shared" ca="1" si="256"/>
        <v>0</v>
      </c>
      <c r="AB1796" s="220" t="str">
        <f t="shared" si="257"/>
        <v/>
      </c>
    </row>
    <row r="1797" spans="1:28" s="219" customFormat="1" ht="20.25">
      <c r="A1797" s="174"/>
      <c r="B1797" s="175" t="str">
        <f>IF(LEN(A1797)=0,"",INDEX('Smelter Look-up'!$A:$A,MATCH($A1797,'Smelter Look-up'!$E:$E,0)))</f>
        <v/>
      </c>
      <c r="C1797" s="179" t="str">
        <f>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55"/>
        <v/>
      </c>
      <c r="T1797" s="174" t="str">
        <f ca="1">IF(B1797="","",IF(ISERROR(MATCH($J1797,SorP!$B$1:$B$6279,0)),"",INDIRECT("'SorP'!$A$"&amp;MATCH($S1797&amp;$J1797,SorP!C:C,0))))</f>
        <v/>
      </c>
      <c r="U1797" s="194"/>
      <c r="V1797" s="218" t="e">
        <f>IF(C1797="",NA(),IF(OR(C1797="Smelter not listed",C1797="Smelter not yet identified"),MATCH($B1797&amp;$D1797,'Smelter Look-up'!$J:$J,0),MATCH($B1797&amp;$C1797,'Smelter Look-up'!$J:$J,0)))</f>
        <v>#N/A</v>
      </c>
      <c r="X1797" s="219">
        <f t="shared" ca="1" si="256"/>
        <v>0</v>
      </c>
      <c r="AB1797" s="220" t="str">
        <f t="shared" si="257"/>
        <v/>
      </c>
    </row>
    <row r="1798" spans="1:28" s="219" customFormat="1" ht="20.25">
      <c r="A1798" s="174"/>
      <c r="B1798" s="175" t="str">
        <f>IF(LEN(A1798)=0,"",INDEX('Smelter Look-up'!$A:$A,MATCH($A1798,'Smelter Look-up'!$E:$E,0)))</f>
        <v/>
      </c>
      <c r="C1798" s="179" t="str">
        <f>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55"/>
        <v/>
      </c>
      <c r="T1798" s="174" t="str">
        <f ca="1">IF(B1798="","",IF(ISERROR(MATCH($J1798,SorP!$B$1:$B$6279,0)),"",INDIRECT("'SorP'!$A$"&amp;MATCH($S1798&amp;$J1798,SorP!C:C,0))))</f>
        <v/>
      </c>
      <c r="U1798" s="194"/>
      <c r="V1798" s="218" t="e">
        <f>IF(C1798="",NA(),IF(OR(C1798="Smelter not listed",C1798="Smelter not yet identified"),MATCH($B1798&amp;$D1798,'Smelter Look-up'!$J:$J,0),MATCH($B1798&amp;$C1798,'Smelter Look-up'!$J:$J,0)))</f>
        <v>#N/A</v>
      </c>
      <c r="X1798" s="219">
        <f t="shared" ca="1" si="256"/>
        <v>0</v>
      </c>
      <c r="AB1798" s="220" t="str">
        <f t="shared" si="257"/>
        <v/>
      </c>
    </row>
    <row r="1799" spans="1:28" s="219" customFormat="1" ht="20.25">
      <c r="A1799" s="174"/>
      <c r="B1799" s="175" t="str">
        <f>IF(LEN(A1799)=0,"",INDEX('Smelter Look-up'!$A:$A,MATCH($A1799,'Smelter Look-up'!$E:$E,0)))</f>
        <v/>
      </c>
      <c r="C1799" s="179" t="str">
        <f>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55"/>
        <v/>
      </c>
      <c r="T1799" s="174" t="str">
        <f ca="1">IF(B1799="","",IF(ISERROR(MATCH($J1799,SorP!$B$1:$B$6279,0)),"",INDIRECT("'SorP'!$A$"&amp;MATCH($S1799&amp;$J1799,SorP!C:C,0))))</f>
        <v/>
      </c>
      <c r="U1799" s="194"/>
      <c r="V1799" s="218" t="e">
        <f>IF(C1799="",NA(),IF(OR(C1799="Smelter not listed",C1799="Smelter not yet identified"),MATCH($B1799&amp;$D1799,'Smelter Look-up'!$J:$J,0),MATCH($B1799&amp;$C1799,'Smelter Look-up'!$J:$J,0)))</f>
        <v>#N/A</v>
      </c>
      <c r="X1799" s="219">
        <f t="shared" ca="1" si="256"/>
        <v>0</v>
      </c>
      <c r="AB1799" s="220" t="str">
        <f t="shared" si="257"/>
        <v/>
      </c>
    </row>
    <row r="1800" spans="1:28" s="219" customFormat="1" ht="20.25">
      <c r="A1800" s="174"/>
      <c r="B1800" s="175" t="str">
        <f>IF(LEN(A1800)=0,"",INDEX('Smelter Look-up'!$A:$A,MATCH($A1800,'Smelter Look-up'!$E:$E,0)))</f>
        <v/>
      </c>
      <c r="C1800" s="179" t="str">
        <f>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55"/>
        <v/>
      </c>
      <c r="T1800" s="174" t="str">
        <f ca="1">IF(B1800="","",IF(ISERROR(MATCH($J1800,SorP!$B$1:$B$6279,0)),"",INDIRECT("'SorP'!$A$"&amp;MATCH($S1800&amp;$J1800,SorP!C:C,0))))</f>
        <v/>
      </c>
      <c r="U1800" s="194"/>
      <c r="V1800" s="218" t="e">
        <f>IF(C1800="",NA(),IF(OR(C1800="Smelter not listed",C1800="Smelter not yet identified"),MATCH($B1800&amp;$D1800,'Smelter Look-up'!$J:$J,0),MATCH($B1800&amp;$C1800,'Smelter Look-up'!$J:$J,0)))</f>
        <v>#N/A</v>
      </c>
      <c r="X1800" s="219">
        <f t="shared" ca="1" si="256"/>
        <v>0</v>
      </c>
      <c r="AB1800" s="220" t="str">
        <f t="shared" si="257"/>
        <v/>
      </c>
    </row>
    <row r="1801" spans="1:28" s="219" customFormat="1" ht="20.25">
      <c r="A1801" s="174"/>
      <c r="B1801" s="175" t="str">
        <f>IF(LEN(A1801)=0,"",INDEX('Smelter Look-up'!$A:$A,MATCH($A1801,'Smelter Look-up'!$E:$E,0)))</f>
        <v/>
      </c>
      <c r="C1801" s="179" t="str">
        <f>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55"/>
        <v/>
      </c>
      <c r="T1801" s="174" t="str">
        <f ca="1">IF(B1801="","",IF(ISERROR(MATCH($J1801,SorP!$B$1:$B$6279,0)),"",INDIRECT("'SorP'!$A$"&amp;MATCH($S1801&amp;$J1801,SorP!C:C,0))))</f>
        <v/>
      </c>
      <c r="U1801" s="194"/>
      <c r="V1801" s="218" t="e">
        <f>IF(C1801="",NA(),IF(OR(C1801="Smelter not listed",C1801="Smelter not yet identified"),MATCH($B1801&amp;$D1801,'Smelter Look-up'!$J:$J,0),MATCH($B1801&amp;$C1801,'Smelter Look-up'!$J:$J,0)))</f>
        <v>#N/A</v>
      </c>
      <c r="X1801" s="219">
        <f t="shared" ca="1" si="256"/>
        <v>0</v>
      </c>
      <c r="AB1801" s="220" t="str">
        <f t="shared" si="257"/>
        <v/>
      </c>
    </row>
    <row r="1802" spans="1:28" s="219" customFormat="1" ht="20.25">
      <c r="A1802" s="174"/>
      <c r="B1802" s="175" t="str">
        <f>IF(LEN(A1802)=0,"",INDEX('Smelter Look-up'!$A:$A,MATCH($A1802,'Smelter Look-up'!$E:$E,0)))</f>
        <v/>
      </c>
      <c r="C1802" s="179" t="str">
        <f>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55"/>
        <v/>
      </c>
      <c r="T1802" s="174" t="str">
        <f ca="1">IF(B1802="","",IF(ISERROR(MATCH($J1802,SorP!$B$1:$B$6279,0)),"",INDIRECT("'SorP'!$A$"&amp;MATCH($S1802&amp;$J1802,SorP!C:C,0))))</f>
        <v/>
      </c>
      <c r="U1802" s="194"/>
      <c r="V1802" s="218" t="e">
        <f>IF(C1802="",NA(),IF(OR(C1802="Smelter not listed",C1802="Smelter not yet identified"),MATCH($B1802&amp;$D1802,'Smelter Look-up'!$J:$J,0),MATCH($B1802&amp;$C1802,'Smelter Look-up'!$J:$J,0)))</f>
        <v>#N/A</v>
      </c>
      <c r="X1802" s="219">
        <f t="shared" ca="1" si="256"/>
        <v>0</v>
      </c>
      <c r="AB1802" s="220" t="str">
        <f t="shared" si="257"/>
        <v/>
      </c>
    </row>
    <row r="1803" spans="1:28" s="219" customFormat="1" ht="20.25">
      <c r="A1803" s="174"/>
      <c r="B1803" s="175" t="str">
        <f>IF(LEN(A1803)=0,"",INDEX('Smelter Look-up'!$A:$A,MATCH($A1803,'Smelter Look-up'!$E:$E,0)))</f>
        <v/>
      </c>
      <c r="C1803" s="179" t="str">
        <f>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55"/>
        <v/>
      </c>
      <c r="T1803" s="174" t="str">
        <f ca="1">IF(B1803="","",IF(ISERROR(MATCH($J1803,SorP!$B$1:$B$6279,0)),"",INDIRECT("'SorP'!$A$"&amp;MATCH($S1803&amp;$J1803,SorP!C:C,0))))</f>
        <v/>
      </c>
      <c r="U1803" s="194"/>
      <c r="V1803" s="218" t="e">
        <f>IF(C1803="",NA(),IF(OR(C1803="Smelter not listed",C1803="Smelter not yet identified"),MATCH($B1803&amp;$D1803,'Smelter Look-up'!$J:$J,0),MATCH($B1803&amp;$C1803,'Smelter Look-up'!$J:$J,0)))</f>
        <v>#N/A</v>
      </c>
      <c r="X1803" s="219">
        <f t="shared" ca="1" si="256"/>
        <v>0</v>
      </c>
      <c r="AB1803" s="220" t="str">
        <f t="shared" si="257"/>
        <v/>
      </c>
    </row>
    <row r="1804" spans="1:28" s="219" customFormat="1" ht="20.25">
      <c r="A1804" s="174"/>
      <c r="B1804" s="175" t="str">
        <f>IF(LEN(A1804)=0,"",INDEX('Smelter Look-up'!$A:$A,MATCH($A1804,'Smelter Look-up'!$E:$E,0)))</f>
        <v/>
      </c>
      <c r="C1804" s="179" t="str">
        <f>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55"/>
        <v/>
      </c>
      <c r="T1804" s="174" t="str">
        <f ca="1">IF(B1804="","",IF(ISERROR(MATCH($J1804,SorP!$B$1:$B$6279,0)),"",INDIRECT("'SorP'!$A$"&amp;MATCH($S1804&amp;$J1804,SorP!C:C,0))))</f>
        <v/>
      </c>
      <c r="U1804" s="194"/>
      <c r="V1804" s="218" t="e">
        <f>IF(C1804="",NA(),IF(OR(C1804="Smelter not listed",C1804="Smelter not yet identified"),MATCH($B1804&amp;$D1804,'Smelter Look-up'!$J:$J,0),MATCH($B1804&amp;$C1804,'Smelter Look-up'!$J:$J,0)))</f>
        <v>#N/A</v>
      </c>
      <c r="X1804" s="219">
        <f t="shared" ca="1" si="256"/>
        <v>0</v>
      </c>
      <c r="AB1804" s="220" t="str">
        <f t="shared" si="257"/>
        <v/>
      </c>
    </row>
    <row r="1805" spans="1:28" s="219" customFormat="1" ht="20.25">
      <c r="A1805" s="174"/>
      <c r="B1805" s="175" t="str">
        <f>IF(LEN(A1805)=0,"",INDEX('Smelter Look-up'!$A:$A,MATCH($A1805,'Smelter Look-up'!$E:$E,0)))</f>
        <v/>
      </c>
      <c r="C1805" s="179" t="str">
        <f>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55"/>
        <v/>
      </c>
      <c r="T1805" s="174" t="str">
        <f ca="1">IF(B1805="","",IF(ISERROR(MATCH($J1805,SorP!$B$1:$B$6279,0)),"",INDIRECT("'SorP'!$A$"&amp;MATCH($S1805&amp;$J1805,SorP!C:C,0))))</f>
        <v/>
      </c>
      <c r="U1805" s="194"/>
      <c r="V1805" s="218" t="e">
        <f>IF(C1805="",NA(),IF(OR(C1805="Smelter not listed",C1805="Smelter not yet identified"),MATCH($B1805&amp;$D1805,'Smelter Look-up'!$J:$J,0),MATCH($B1805&amp;$C1805,'Smelter Look-up'!$J:$J,0)))</f>
        <v>#N/A</v>
      </c>
      <c r="X1805" s="219">
        <f t="shared" ca="1" si="256"/>
        <v>0</v>
      </c>
      <c r="AB1805" s="220" t="str">
        <f t="shared" si="257"/>
        <v/>
      </c>
    </row>
    <row r="1806" spans="1:28" s="219" customFormat="1" ht="20.25">
      <c r="A1806" s="174"/>
      <c r="B1806" s="175" t="str">
        <f>IF(LEN(A1806)=0,"",INDEX('Smelter Look-up'!$A:$A,MATCH($A1806,'Smelter Look-up'!$E:$E,0)))</f>
        <v/>
      </c>
      <c r="C1806" s="179" t="str">
        <f>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55"/>
        <v/>
      </c>
      <c r="T1806" s="174" t="str">
        <f ca="1">IF(B1806="","",IF(ISERROR(MATCH($J1806,SorP!$B$1:$B$6279,0)),"",INDIRECT("'SorP'!$A$"&amp;MATCH($S1806&amp;$J1806,SorP!C:C,0))))</f>
        <v/>
      </c>
      <c r="U1806" s="194"/>
      <c r="V1806" s="218" t="e">
        <f>IF(C1806="",NA(),IF(OR(C1806="Smelter not listed",C1806="Smelter not yet identified"),MATCH($B1806&amp;$D1806,'Smelter Look-up'!$J:$J,0),MATCH($B1806&amp;$C1806,'Smelter Look-up'!$J:$J,0)))</f>
        <v>#N/A</v>
      </c>
      <c r="X1806" s="219">
        <f t="shared" ca="1" si="256"/>
        <v>0</v>
      </c>
      <c r="AB1806" s="220" t="str">
        <f t="shared" si="257"/>
        <v/>
      </c>
    </row>
    <row r="1807" spans="1:28" s="219" customFormat="1" ht="20.25">
      <c r="A1807" s="174"/>
      <c r="B1807" s="175" t="str">
        <f>IF(LEN(A1807)=0,"",INDEX('Smelter Look-up'!$A:$A,MATCH($A1807,'Smelter Look-up'!$E:$E,0)))</f>
        <v/>
      </c>
      <c r="C1807" s="179" t="str">
        <f>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55"/>
        <v/>
      </c>
      <c r="T1807" s="174" t="str">
        <f ca="1">IF(B1807="","",IF(ISERROR(MATCH($J1807,SorP!$B$1:$B$6279,0)),"",INDIRECT("'SorP'!$A$"&amp;MATCH($S1807&amp;$J1807,SorP!C:C,0))))</f>
        <v/>
      </c>
      <c r="U1807" s="194"/>
      <c r="V1807" s="218" t="e">
        <f>IF(C1807="",NA(),IF(OR(C1807="Smelter not listed",C1807="Smelter not yet identified"),MATCH($B1807&amp;$D1807,'Smelter Look-up'!$J:$J,0),MATCH($B1807&amp;$C1807,'Smelter Look-up'!$J:$J,0)))</f>
        <v>#N/A</v>
      </c>
      <c r="X1807" s="219">
        <f t="shared" ca="1" si="256"/>
        <v>0</v>
      </c>
      <c r="AB1807" s="220" t="str">
        <f t="shared" si="257"/>
        <v/>
      </c>
    </row>
    <row r="1808" spans="1:28" s="219" customFormat="1" ht="20.25">
      <c r="A1808" s="174"/>
      <c r="B1808" s="175" t="str">
        <f>IF(LEN(A1808)=0,"",INDEX('Smelter Look-up'!$A:$A,MATCH($A1808,'Smelter Look-up'!$E:$E,0)))</f>
        <v/>
      </c>
      <c r="C1808" s="179" t="str">
        <f>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55"/>
        <v/>
      </c>
      <c r="T1808" s="174" t="str">
        <f ca="1">IF(B1808="","",IF(ISERROR(MATCH($J1808,SorP!$B$1:$B$6279,0)),"",INDIRECT("'SorP'!$A$"&amp;MATCH($S1808&amp;$J1808,SorP!C:C,0))))</f>
        <v/>
      </c>
      <c r="U1808" s="194"/>
      <c r="V1808" s="218" t="e">
        <f>IF(C1808="",NA(),IF(OR(C1808="Smelter not listed",C1808="Smelter not yet identified"),MATCH($B1808&amp;$D1808,'Smelter Look-up'!$J:$J,0),MATCH($B1808&amp;$C1808,'Smelter Look-up'!$J:$J,0)))</f>
        <v>#N/A</v>
      </c>
      <c r="X1808" s="219">
        <f t="shared" ca="1" si="256"/>
        <v>0</v>
      </c>
      <c r="AB1808" s="220" t="str">
        <f t="shared" si="257"/>
        <v/>
      </c>
    </row>
    <row r="1809" spans="1:28" s="219" customFormat="1" ht="20.25">
      <c r="A1809" s="174"/>
      <c r="B1809" s="175" t="str">
        <f>IF(LEN(A1809)=0,"",INDEX('Smelter Look-up'!$A:$A,MATCH($A1809,'Smelter Look-up'!$E:$E,0)))</f>
        <v/>
      </c>
      <c r="C1809" s="179" t="str">
        <f>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55"/>
        <v/>
      </c>
      <c r="T1809" s="174" t="str">
        <f ca="1">IF(B1809="","",IF(ISERROR(MATCH($J1809,SorP!$B$1:$B$6279,0)),"",INDIRECT("'SorP'!$A$"&amp;MATCH($S1809&amp;$J1809,SorP!C:C,0))))</f>
        <v/>
      </c>
      <c r="U1809" s="194"/>
      <c r="V1809" s="218" t="e">
        <f>IF(C1809="",NA(),IF(OR(C1809="Smelter not listed",C1809="Smelter not yet identified"),MATCH($B1809&amp;$D1809,'Smelter Look-up'!$J:$J,0),MATCH($B1809&amp;$C1809,'Smelter Look-up'!$J:$J,0)))</f>
        <v>#N/A</v>
      </c>
      <c r="X1809" s="219">
        <f t="shared" ca="1" si="256"/>
        <v>0</v>
      </c>
      <c r="AB1809" s="220" t="str">
        <f t="shared" si="257"/>
        <v/>
      </c>
    </row>
    <row r="1810" spans="1:28" s="219" customFormat="1" ht="20.25">
      <c r="A1810" s="174"/>
      <c r="B1810" s="175" t="str">
        <f>IF(LEN(A1810)=0,"",INDEX('Smelter Look-up'!$A:$A,MATCH($A1810,'Smelter Look-up'!$E:$E,0)))</f>
        <v/>
      </c>
      <c r="C1810" s="179" t="str">
        <f>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255"/>
        <v/>
      </c>
      <c r="T1810" s="174" t="str">
        <f ca="1">IF(B1810="","",IF(ISERROR(MATCH($J1810,SorP!$B$1:$B$6279,0)),"",INDIRECT("'SorP'!$A$"&amp;MATCH($S1810&amp;$J1810,SorP!C:C,0))))</f>
        <v/>
      </c>
      <c r="U1810" s="194"/>
      <c r="V1810" s="218" t="e">
        <f>IF(C1810="",NA(),IF(OR(C1810="Smelter not listed",C1810="Smelter not yet identified"),MATCH($B1810&amp;$D1810,'Smelter Look-up'!$J:$J,0),MATCH($B1810&amp;$C1810,'Smelter Look-up'!$J:$J,0)))</f>
        <v>#N/A</v>
      </c>
      <c r="X1810" s="219">
        <f t="shared" ca="1" si="256"/>
        <v>0</v>
      </c>
      <c r="AB1810" s="220" t="str">
        <f t="shared" si="257"/>
        <v/>
      </c>
    </row>
    <row r="1811" spans="1:28" s="219" customFormat="1" ht="20.25">
      <c r="A1811" s="174"/>
      <c r="B1811" s="175" t="str">
        <f>IF(LEN(A1811)=0,"",INDEX('Smelter Look-up'!$A:$A,MATCH($A1811,'Smelter Look-up'!$E:$E,0)))</f>
        <v/>
      </c>
      <c r="C1811" s="179" t="str">
        <f>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255"/>
        <v/>
      </c>
      <c r="T1811" s="174" t="str">
        <f ca="1">IF(B1811="","",IF(ISERROR(MATCH($J1811,SorP!$B$1:$B$6279,0)),"",INDIRECT("'SorP'!$A$"&amp;MATCH($S1811&amp;$J1811,SorP!C:C,0))))</f>
        <v/>
      </c>
      <c r="U1811" s="194"/>
      <c r="V1811" s="218" t="e">
        <f>IF(C1811="",NA(),IF(OR(C1811="Smelter not listed",C1811="Smelter not yet identified"),MATCH($B1811&amp;$D1811,'Smelter Look-up'!$J:$J,0),MATCH($B1811&amp;$C1811,'Smelter Look-up'!$J:$J,0)))</f>
        <v>#N/A</v>
      </c>
      <c r="X1811" s="219">
        <f t="shared" ca="1" si="256"/>
        <v>0</v>
      </c>
      <c r="AB1811" s="220" t="str">
        <f t="shared" si="257"/>
        <v/>
      </c>
    </row>
    <row r="1812" spans="1:28" s="219" customFormat="1" ht="20.25">
      <c r="A1812" s="174"/>
      <c r="B1812" s="175" t="str">
        <f>IF(LEN(A1812)=0,"",INDEX('Smelter Look-up'!$A:$A,MATCH($A1812,'Smelter Look-up'!$E:$E,0)))</f>
        <v/>
      </c>
      <c r="C1812" s="179" t="str">
        <f>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55"/>
        <v/>
      </c>
      <c r="T1812" s="174" t="str">
        <f ca="1">IF(B1812="","",IF(ISERROR(MATCH($J1812,SorP!$B$1:$B$6279,0)),"",INDIRECT("'SorP'!$A$"&amp;MATCH($S1812&amp;$J1812,SorP!C:C,0))))</f>
        <v/>
      </c>
      <c r="U1812" s="194"/>
      <c r="V1812" s="218" t="e">
        <f>IF(C1812="",NA(),IF(OR(C1812="Smelter not listed",C1812="Smelter not yet identified"),MATCH($B1812&amp;$D1812,'Smelter Look-up'!$J:$J,0),MATCH($B1812&amp;$C1812,'Smelter Look-up'!$J:$J,0)))</f>
        <v>#N/A</v>
      </c>
      <c r="X1812" s="219">
        <f t="shared" ca="1" si="256"/>
        <v>0</v>
      </c>
      <c r="AB1812" s="220" t="str">
        <f t="shared" si="257"/>
        <v/>
      </c>
    </row>
    <row r="1813" spans="1:28" s="219" customFormat="1" ht="20.25">
      <c r="A1813" s="174"/>
      <c r="B1813" s="175" t="str">
        <f>IF(LEN(A1813)=0,"",INDEX('Smelter Look-up'!$A:$A,MATCH($A1813,'Smelter Look-up'!$E:$E,0)))</f>
        <v/>
      </c>
      <c r="C1813" s="179" t="str">
        <f>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55"/>
        <v/>
      </c>
      <c r="T1813" s="174" t="str">
        <f ca="1">IF(B1813="","",IF(ISERROR(MATCH($J1813,SorP!$B$1:$B$6279,0)),"",INDIRECT("'SorP'!$A$"&amp;MATCH($S1813&amp;$J1813,SorP!C:C,0))))</f>
        <v/>
      </c>
      <c r="U1813" s="194"/>
      <c r="V1813" s="218" t="e">
        <f>IF(C1813="",NA(),IF(OR(C1813="Smelter not listed",C1813="Smelter not yet identified"),MATCH($B1813&amp;$D1813,'Smelter Look-up'!$J:$J,0),MATCH($B1813&amp;$C1813,'Smelter Look-up'!$J:$J,0)))</f>
        <v>#N/A</v>
      </c>
      <c r="X1813" s="219">
        <f t="shared" ca="1" si="256"/>
        <v>0</v>
      </c>
      <c r="AB1813" s="220" t="str">
        <f t="shared" si="257"/>
        <v/>
      </c>
    </row>
    <row r="1814" spans="1:28" s="219" customFormat="1" ht="20.25">
      <c r="A1814" s="174"/>
      <c r="B1814" s="175" t="str">
        <f>IF(LEN(A1814)=0,"",INDEX('Smelter Look-up'!$A:$A,MATCH($A1814,'Smelter Look-up'!$E:$E,0)))</f>
        <v/>
      </c>
      <c r="C1814" s="179" t="str">
        <f>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55"/>
        <v/>
      </c>
      <c r="T1814" s="174" t="str">
        <f ca="1">IF(B1814="","",IF(ISERROR(MATCH($J1814,SorP!$B$1:$B$6279,0)),"",INDIRECT("'SorP'!$A$"&amp;MATCH($S1814&amp;$J1814,SorP!C:C,0))))</f>
        <v/>
      </c>
      <c r="U1814" s="194"/>
      <c r="V1814" s="218" t="e">
        <f>IF(C1814="",NA(),IF(OR(C1814="Smelter not listed",C1814="Smelter not yet identified"),MATCH($B1814&amp;$D1814,'Smelter Look-up'!$J:$J,0),MATCH($B1814&amp;$C1814,'Smelter Look-up'!$J:$J,0)))</f>
        <v>#N/A</v>
      </c>
      <c r="X1814" s="219">
        <f t="shared" ca="1" si="256"/>
        <v>0</v>
      </c>
      <c r="AB1814" s="220" t="str">
        <f t="shared" si="257"/>
        <v/>
      </c>
    </row>
    <row r="1815" spans="1:28" s="219" customFormat="1" ht="20.25">
      <c r="A1815" s="174"/>
      <c r="B1815" s="175" t="str">
        <f>IF(LEN(A1815)=0,"",INDEX('Smelter Look-up'!$A:$A,MATCH($A1815,'Smelter Look-up'!$E:$E,0)))</f>
        <v/>
      </c>
      <c r="C1815" s="179" t="str">
        <f>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55"/>
        <v/>
      </c>
      <c r="T1815" s="174" t="str">
        <f ca="1">IF(B1815="","",IF(ISERROR(MATCH($J1815,SorP!$B$1:$B$6279,0)),"",INDIRECT("'SorP'!$A$"&amp;MATCH($S1815&amp;$J1815,SorP!C:C,0))))</f>
        <v/>
      </c>
      <c r="U1815" s="194"/>
      <c r="V1815" s="218" t="e">
        <f>IF(C1815="",NA(),IF(OR(C1815="Smelter not listed",C1815="Smelter not yet identified"),MATCH($B1815&amp;$D1815,'Smelter Look-up'!$J:$J,0),MATCH($B1815&amp;$C1815,'Smelter Look-up'!$J:$J,0)))</f>
        <v>#N/A</v>
      </c>
      <c r="X1815" s="219">
        <f t="shared" ca="1" si="256"/>
        <v>0</v>
      </c>
      <c r="AB1815" s="220" t="str">
        <f t="shared" si="257"/>
        <v/>
      </c>
    </row>
    <row r="1816" spans="1:28" s="219" customFormat="1" ht="20.25">
      <c r="A1816" s="174"/>
      <c r="B1816" s="175" t="str">
        <f>IF(LEN(A1816)=0,"",INDEX('Smelter Look-up'!$A:$A,MATCH($A1816,'Smelter Look-up'!$E:$E,0)))</f>
        <v/>
      </c>
      <c r="C1816" s="179" t="str">
        <f>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55"/>
        <v/>
      </c>
      <c r="T1816" s="174" t="str">
        <f ca="1">IF(B1816="","",IF(ISERROR(MATCH($J1816,SorP!$B$1:$B$6279,0)),"",INDIRECT("'SorP'!$A$"&amp;MATCH($S1816&amp;$J1816,SorP!C:C,0))))</f>
        <v/>
      </c>
      <c r="U1816" s="194"/>
      <c r="V1816" s="218" t="e">
        <f>IF(C1816="",NA(),IF(OR(C1816="Smelter not listed",C1816="Smelter not yet identified"),MATCH($B1816&amp;$D1816,'Smelter Look-up'!$J:$J,0),MATCH($B1816&amp;$C1816,'Smelter Look-up'!$J:$J,0)))</f>
        <v>#N/A</v>
      </c>
      <c r="X1816" s="219">
        <f t="shared" ca="1" si="256"/>
        <v>0</v>
      </c>
      <c r="AB1816" s="220" t="str">
        <f t="shared" si="257"/>
        <v/>
      </c>
    </row>
    <row r="1817" spans="1:28" s="219" customFormat="1" ht="20.25">
      <c r="A1817" s="174"/>
      <c r="B1817" s="175" t="str">
        <f>IF(LEN(A1817)=0,"",INDEX('Smelter Look-up'!$A:$A,MATCH($A1817,'Smelter Look-up'!$E:$E,0)))</f>
        <v/>
      </c>
      <c r="C1817" s="179" t="str">
        <f>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55"/>
        <v/>
      </c>
      <c r="T1817" s="174" t="str">
        <f ca="1">IF(B1817="","",IF(ISERROR(MATCH($J1817,SorP!$B$1:$B$6279,0)),"",INDIRECT("'SorP'!$A$"&amp;MATCH($S1817&amp;$J1817,SorP!C:C,0))))</f>
        <v/>
      </c>
      <c r="U1817" s="194"/>
      <c r="V1817" s="218" t="e">
        <f>IF(C1817="",NA(),IF(OR(C1817="Smelter not listed",C1817="Smelter not yet identified"),MATCH($B1817&amp;$D1817,'Smelter Look-up'!$J:$J,0),MATCH($B1817&amp;$C1817,'Smelter Look-up'!$J:$J,0)))</f>
        <v>#N/A</v>
      </c>
      <c r="X1817" s="219">
        <f t="shared" ca="1" si="256"/>
        <v>0</v>
      </c>
      <c r="AB1817" s="220" t="str">
        <f t="shared" si="257"/>
        <v/>
      </c>
    </row>
    <row r="1818" spans="1:28" s="219" customFormat="1" ht="20.25">
      <c r="A1818" s="174"/>
      <c r="B1818" s="175" t="str">
        <f>IF(LEN(A1818)=0,"",INDEX('Smelter Look-up'!$A:$A,MATCH($A1818,'Smelter Look-up'!$E:$E,0)))</f>
        <v/>
      </c>
      <c r="C1818" s="179" t="str">
        <f>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255"/>
        <v/>
      </c>
      <c r="T1818" s="174" t="str">
        <f ca="1">IF(B1818="","",IF(ISERROR(MATCH($J1818,SorP!$B$1:$B$6279,0)),"",INDIRECT("'SorP'!$A$"&amp;MATCH($S1818&amp;$J1818,SorP!C:C,0))))</f>
        <v/>
      </c>
      <c r="U1818" s="194"/>
      <c r="V1818" s="218" t="e">
        <f>IF(C1818="",NA(),IF(OR(C1818="Smelter not listed",C1818="Smelter not yet identified"),MATCH($B1818&amp;$D1818,'Smelter Look-up'!$J:$J,0),MATCH($B1818&amp;$C1818,'Smelter Look-up'!$J:$J,0)))</f>
        <v>#N/A</v>
      </c>
      <c r="X1818" s="219">
        <f t="shared" ca="1" si="256"/>
        <v>0</v>
      </c>
      <c r="AB1818" s="220" t="str">
        <f t="shared" si="257"/>
        <v/>
      </c>
    </row>
    <row r="1819" spans="1:28" s="219" customFormat="1" ht="20.25">
      <c r="A1819" s="174"/>
      <c r="B1819" s="175" t="str">
        <f>IF(LEN(A1819)=0,"",INDEX('Smelter Look-up'!$A:$A,MATCH($A1819,'Smelter Look-up'!$E:$E,0)))</f>
        <v/>
      </c>
      <c r="C1819" s="179" t="str">
        <f>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255"/>
        <v/>
      </c>
      <c r="T1819" s="174" t="str">
        <f ca="1">IF(B1819="","",IF(ISERROR(MATCH($J1819,SorP!$B$1:$B$6279,0)),"",INDIRECT("'SorP'!$A$"&amp;MATCH($S1819&amp;$J1819,SorP!C:C,0))))</f>
        <v/>
      </c>
      <c r="U1819" s="194"/>
      <c r="V1819" s="218" t="e">
        <f>IF(C1819="",NA(),IF(OR(C1819="Smelter not listed",C1819="Smelter not yet identified"),MATCH($B1819&amp;$D1819,'Smelter Look-up'!$J:$J,0),MATCH($B1819&amp;$C1819,'Smelter Look-up'!$J:$J,0)))</f>
        <v>#N/A</v>
      </c>
      <c r="X1819" s="219">
        <f t="shared" ca="1" si="256"/>
        <v>0</v>
      </c>
      <c r="AB1819" s="220" t="str">
        <f t="shared" si="257"/>
        <v/>
      </c>
    </row>
    <row r="1820" spans="1:28" s="219" customFormat="1" ht="20.25">
      <c r="A1820" s="174"/>
      <c r="B1820" s="175" t="str">
        <f>IF(LEN(A1820)=0,"",INDEX('Smelter Look-up'!$A:$A,MATCH($A1820,'Smelter Look-up'!$E:$E,0)))</f>
        <v/>
      </c>
      <c r="C1820" s="179" t="str">
        <f>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ref="S1820:S1850" ca="1" si="258">IF(B1820="","",IF(ISERROR(MATCH($E1820,CL,0)),"Unknown",INDIRECT("'C'!$A$"&amp;MATCH($E1820,CL,0)+1)))</f>
        <v/>
      </c>
      <c r="T1820" s="174" t="str">
        <f ca="1">IF(B1820="","",IF(ISERROR(MATCH($J1820,SorP!$B$1:$B$6279,0)),"",INDIRECT("'SorP'!$A$"&amp;MATCH($S1820&amp;$J1820,SorP!C:C,0))))</f>
        <v/>
      </c>
      <c r="U1820" s="194"/>
      <c r="V1820" s="218" t="e">
        <f>IF(C1820="",NA(),IF(OR(C1820="Smelter not listed",C1820="Smelter not yet identified"),MATCH($B1820&amp;$D1820,'Smelter Look-up'!$J:$J,0),MATCH($B1820&amp;$C1820,'Smelter Look-up'!$J:$J,0)))</f>
        <v>#N/A</v>
      </c>
      <c r="X1820" s="219">
        <f t="shared" ref="X1820:X1850" ca="1" si="259">IF(AND(C1820="Smelter not listed",OR(LEN(D1820)=0,LEN(E1820)=0)),1,0)</f>
        <v>0</v>
      </c>
      <c r="AB1820" s="220" t="str">
        <f t="shared" ref="AB1820:AB1850" si="260">B1820&amp;C1820</f>
        <v/>
      </c>
    </row>
    <row r="1821" spans="1:28" s="219" customFormat="1" ht="20.25">
      <c r="A1821" s="174"/>
      <c r="B1821" s="175" t="str">
        <f>IF(LEN(A1821)=0,"",INDEX('Smelter Look-up'!$A:$A,MATCH($A1821,'Smelter Look-up'!$E:$E,0)))</f>
        <v/>
      </c>
      <c r="C1821" s="179" t="str">
        <f>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58"/>
        <v/>
      </c>
      <c r="T1821" s="174" t="str">
        <f ca="1">IF(B1821="","",IF(ISERROR(MATCH($J1821,SorP!$B$1:$B$6279,0)),"",INDIRECT("'SorP'!$A$"&amp;MATCH($S1821&amp;$J1821,SorP!C:C,0))))</f>
        <v/>
      </c>
      <c r="U1821" s="194"/>
      <c r="V1821" s="218" t="e">
        <f>IF(C1821="",NA(),IF(OR(C1821="Smelter not listed",C1821="Smelter not yet identified"),MATCH($B1821&amp;$D1821,'Smelter Look-up'!$J:$J,0),MATCH($B1821&amp;$C1821,'Smelter Look-up'!$J:$J,0)))</f>
        <v>#N/A</v>
      </c>
      <c r="X1821" s="219">
        <f t="shared" ca="1" si="259"/>
        <v>0</v>
      </c>
      <c r="AB1821" s="220" t="str">
        <f t="shared" si="260"/>
        <v/>
      </c>
    </row>
    <row r="1822" spans="1:28" s="219" customFormat="1" ht="20.25">
      <c r="A1822" s="174"/>
      <c r="B1822" s="175" t="str">
        <f>IF(LEN(A1822)=0,"",INDEX('Smelter Look-up'!$A:$A,MATCH($A1822,'Smelter Look-up'!$E:$E,0)))</f>
        <v/>
      </c>
      <c r="C1822" s="179" t="str">
        <f>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58"/>
        <v/>
      </c>
      <c r="T1822" s="174" t="str">
        <f ca="1">IF(B1822="","",IF(ISERROR(MATCH($J1822,SorP!$B$1:$B$6279,0)),"",INDIRECT("'SorP'!$A$"&amp;MATCH($S1822&amp;$J1822,SorP!C:C,0))))</f>
        <v/>
      </c>
      <c r="U1822" s="194"/>
      <c r="V1822" s="218" t="e">
        <f>IF(C1822="",NA(),IF(OR(C1822="Smelter not listed",C1822="Smelter not yet identified"),MATCH($B1822&amp;$D1822,'Smelter Look-up'!$J:$J,0),MATCH($B1822&amp;$C1822,'Smelter Look-up'!$J:$J,0)))</f>
        <v>#N/A</v>
      </c>
      <c r="X1822" s="219">
        <f t="shared" ca="1" si="259"/>
        <v>0</v>
      </c>
      <c r="AB1822" s="220" t="str">
        <f t="shared" si="260"/>
        <v/>
      </c>
    </row>
    <row r="1823" spans="1:28" s="219" customFormat="1" ht="20.25">
      <c r="A1823" s="174"/>
      <c r="B1823" s="175" t="str">
        <f>IF(LEN(A1823)=0,"",INDEX('Smelter Look-up'!$A:$A,MATCH($A1823,'Smelter Look-up'!$E:$E,0)))</f>
        <v/>
      </c>
      <c r="C1823" s="179" t="str">
        <f>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58"/>
        <v/>
      </c>
      <c r="T1823" s="174" t="str">
        <f ca="1">IF(B1823="","",IF(ISERROR(MATCH($J1823,SorP!$B$1:$B$6279,0)),"",INDIRECT("'SorP'!$A$"&amp;MATCH($S1823&amp;$J1823,SorP!C:C,0))))</f>
        <v/>
      </c>
      <c r="U1823" s="194"/>
      <c r="V1823" s="218" t="e">
        <f>IF(C1823="",NA(),IF(OR(C1823="Smelter not listed",C1823="Smelter not yet identified"),MATCH($B1823&amp;$D1823,'Smelter Look-up'!$J:$J,0),MATCH($B1823&amp;$C1823,'Smelter Look-up'!$J:$J,0)))</f>
        <v>#N/A</v>
      </c>
      <c r="X1823" s="219">
        <f t="shared" ca="1" si="259"/>
        <v>0</v>
      </c>
      <c r="AB1823" s="220" t="str">
        <f t="shared" si="260"/>
        <v/>
      </c>
    </row>
    <row r="1824" spans="1:28" s="219" customFormat="1" ht="20.25">
      <c r="A1824" s="174"/>
      <c r="B1824" s="175" t="str">
        <f>IF(LEN(A1824)=0,"",INDEX('Smelter Look-up'!$A:$A,MATCH($A1824,'Smelter Look-up'!$E:$E,0)))</f>
        <v/>
      </c>
      <c r="C1824" s="179" t="str">
        <f>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58"/>
        <v/>
      </c>
      <c r="T1824" s="174" t="str">
        <f ca="1">IF(B1824="","",IF(ISERROR(MATCH($J1824,SorP!$B$1:$B$6279,0)),"",INDIRECT("'SorP'!$A$"&amp;MATCH($S1824&amp;$J1824,SorP!C:C,0))))</f>
        <v/>
      </c>
      <c r="U1824" s="194"/>
      <c r="V1824" s="218" t="e">
        <f>IF(C1824="",NA(),IF(OR(C1824="Smelter not listed",C1824="Smelter not yet identified"),MATCH($B1824&amp;$D1824,'Smelter Look-up'!$J:$J,0),MATCH($B1824&amp;$C1824,'Smelter Look-up'!$J:$J,0)))</f>
        <v>#N/A</v>
      </c>
      <c r="X1824" s="219">
        <f t="shared" ca="1" si="259"/>
        <v>0</v>
      </c>
      <c r="AB1824" s="220" t="str">
        <f t="shared" si="260"/>
        <v/>
      </c>
    </row>
    <row r="1825" spans="1:28" s="219" customFormat="1" ht="20.25">
      <c r="A1825" s="174"/>
      <c r="B1825" s="175" t="str">
        <f>IF(LEN(A1825)=0,"",INDEX('Smelter Look-up'!$A:$A,MATCH($A1825,'Smelter Look-up'!$E:$E,0)))</f>
        <v/>
      </c>
      <c r="C1825" s="179" t="str">
        <f>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58"/>
        <v/>
      </c>
      <c r="T1825" s="174" t="str">
        <f ca="1">IF(B1825="","",IF(ISERROR(MATCH($J1825,SorP!$B$1:$B$6279,0)),"",INDIRECT("'SorP'!$A$"&amp;MATCH($S1825&amp;$J1825,SorP!C:C,0))))</f>
        <v/>
      </c>
      <c r="U1825" s="194"/>
      <c r="V1825" s="218" t="e">
        <f>IF(C1825="",NA(),IF(OR(C1825="Smelter not listed",C1825="Smelter not yet identified"),MATCH($B1825&amp;$D1825,'Smelter Look-up'!$J:$J,0),MATCH($B1825&amp;$C1825,'Smelter Look-up'!$J:$J,0)))</f>
        <v>#N/A</v>
      </c>
      <c r="X1825" s="219">
        <f t="shared" ca="1" si="259"/>
        <v>0</v>
      </c>
      <c r="AB1825" s="220" t="str">
        <f t="shared" si="260"/>
        <v/>
      </c>
    </row>
    <row r="1826" spans="1:28" s="219" customFormat="1" ht="20.25">
      <c r="A1826" s="174"/>
      <c r="B1826" s="175" t="str">
        <f>IF(LEN(A1826)=0,"",INDEX('Smelter Look-up'!$A:$A,MATCH($A1826,'Smelter Look-up'!$E:$E,0)))</f>
        <v/>
      </c>
      <c r="C1826" s="179" t="str">
        <f>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58"/>
        <v/>
      </c>
      <c r="T1826" s="174" t="str">
        <f ca="1">IF(B1826="","",IF(ISERROR(MATCH($J1826,SorP!$B$1:$B$6279,0)),"",INDIRECT("'SorP'!$A$"&amp;MATCH($S1826&amp;$J1826,SorP!C:C,0))))</f>
        <v/>
      </c>
      <c r="U1826" s="194"/>
      <c r="V1826" s="218" t="e">
        <f>IF(C1826="",NA(),IF(OR(C1826="Smelter not listed",C1826="Smelter not yet identified"),MATCH($B1826&amp;$D1826,'Smelter Look-up'!$J:$J,0),MATCH($B1826&amp;$C1826,'Smelter Look-up'!$J:$J,0)))</f>
        <v>#N/A</v>
      </c>
      <c r="X1826" s="219">
        <f t="shared" ca="1" si="259"/>
        <v>0</v>
      </c>
      <c r="AB1826" s="220" t="str">
        <f t="shared" si="260"/>
        <v/>
      </c>
    </row>
    <row r="1827" spans="1:28" s="219" customFormat="1" ht="20.25">
      <c r="A1827" s="174"/>
      <c r="B1827" s="175" t="str">
        <f>IF(LEN(A1827)=0,"",INDEX('Smelter Look-up'!$A:$A,MATCH($A1827,'Smelter Look-up'!$E:$E,0)))</f>
        <v/>
      </c>
      <c r="C1827" s="179" t="str">
        <f>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58"/>
        <v/>
      </c>
      <c r="T1827" s="174" t="str">
        <f ca="1">IF(B1827="","",IF(ISERROR(MATCH($J1827,SorP!$B$1:$B$6279,0)),"",INDIRECT("'SorP'!$A$"&amp;MATCH($S1827&amp;$J1827,SorP!C:C,0))))</f>
        <v/>
      </c>
      <c r="U1827" s="194"/>
      <c r="V1827" s="218" t="e">
        <f>IF(C1827="",NA(),IF(OR(C1827="Smelter not listed",C1827="Smelter not yet identified"),MATCH($B1827&amp;$D1827,'Smelter Look-up'!$J:$J,0),MATCH($B1827&amp;$C1827,'Smelter Look-up'!$J:$J,0)))</f>
        <v>#N/A</v>
      </c>
      <c r="X1827" s="219">
        <f t="shared" ca="1" si="259"/>
        <v>0</v>
      </c>
      <c r="AB1827" s="220" t="str">
        <f t="shared" si="260"/>
        <v/>
      </c>
    </row>
    <row r="1828" spans="1:28" s="219" customFormat="1" ht="20.25">
      <c r="A1828" s="174"/>
      <c r="B1828" s="175" t="str">
        <f>IF(LEN(A1828)=0,"",INDEX('Smelter Look-up'!$A:$A,MATCH($A1828,'Smelter Look-up'!$E:$E,0)))</f>
        <v/>
      </c>
      <c r="C1828" s="179" t="str">
        <f>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58"/>
        <v/>
      </c>
      <c r="T1828" s="174" t="str">
        <f ca="1">IF(B1828="","",IF(ISERROR(MATCH($J1828,SorP!$B$1:$B$6279,0)),"",INDIRECT("'SorP'!$A$"&amp;MATCH($S1828&amp;$J1828,SorP!C:C,0))))</f>
        <v/>
      </c>
      <c r="U1828" s="194"/>
      <c r="V1828" s="218" t="e">
        <f>IF(C1828="",NA(),IF(OR(C1828="Smelter not listed",C1828="Smelter not yet identified"),MATCH($B1828&amp;$D1828,'Smelter Look-up'!$J:$J,0),MATCH($B1828&amp;$C1828,'Smelter Look-up'!$J:$J,0)))</f>
        <v>#N/A</v>
      </c>
      <c r="X1828" s="219">
        <f t="shared" ca="1" si="259"/>
        <v>0</v>
      </c>
      <c r="AB1828" s="220" t="str">
        <f t="shared" si="260"/>
        <v/>
      </c>
    </row>
    <row r="1829" spans="1:28" s="219" customFormat="1" ht="20.25">
      <c r="A1829" s="174"/>
      <c r="B1829" s="175" t="str">
        <f>IF(LEN(A1829)=0,"",INDEX('Smelter Look-up'!$A:$A,MATCH($A1829,'Smelter Look-up'!$E:$E,0)))</f>
        <v/>
      </c>
      <c r="C1829" s="179" t="str">
        <f>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58"/>
        <v/>
      </c>
      <c r="T1829" s="174" t="str">
        <f ca="1">IF(B1829="","",IF(ISERROR(MATCH($J1829,SorP!$B$1:$B$6279,0)),"",INDIRECT("'SorP'!$A$"&amp;MATCH($S1829&amp;$J1829,SorP!C:C,0))))</f>
        <v/>
      </c>
      <c r="U1829" s="194"/>
      <c r="V1829" s="218" t="e">
        <f>IF(C1829="",NA(),IF(OR(C1829="Smelter not listed",C1829="Smelter not yet identified"),MATCH($B1829&amp;$D1829,'Smelter Look-up'!$J:$J,0),MATCH($B1829&amp;$C1829,'Smelter Look-up'!$J:$J,0)))</f>
        <v>#N/A</v>
      </c>
      <c r="X1829" s="219">
        <f t="shared" ca="1" si="259"/>
        <v>0</v>
      </c>
      <c r="AB1829" s="220" t="str">
        <f t="shared" si="260"/>
        <v/>
      </c>
    </row>
    <row r="1830" spans="1:28" s="219" customFormat="1" ht="20.25">
      <c r="A1830" s="174"/>
      <c r="B1830" s="175" t="str">
        <f>IF(LEN(A1830)=0,"",INDEX('Smelter Look-up'!$A:$A,MATCH($A1830,'Smelter Look-up'!$E:$E,0)))</f>
        <v/>
      </c>
      <c r="C1830" s="179" t="str">
        <f>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58"/>
        <v/>
      </c>
      <c r="T1830" s="174" t="str">
        <f ca="1">IF(B1830="","",IF(ISERROR(MATCH($J1830,SorP!$B$1:$B$6279,0)),"",INDIRECT("'SorP'!$A$"&amp;MATCH($S1830&amp;$J1830,SorP!C:C,0))))</f>
        <v/>
      </c>
      <c r="U1830" s="194"/>
      <c r="V1830" s="218" t="e">
        <f>IF(C1830="",NA(),IF(OR(C1830="Smelter not listed",C1830="Smelter not yet identified"),MATCH($B1830&amp;$D1830,'Smelter Look-up'!$J:$J,0),MATCH($B1830&amp;$C1830,'Smelter Look-up'!$J:$J,0)))</f>
        <v>#N/A</v>
      </c>
      <c r="X1830" s="219">
        <f t="shared" ca="1" si="259"/>
        <v>0</v>
      </c>
      <c r="AB1830" s="220" t="str">
        <f t="shared" si="260"/>
        <v/>
      </c>
    </row>
    <row r="1831" spans="1:28" s="219" customFormat="1" ht="20.25">
      <c r="A1831" s="174"/>
      <c r="B1831" s="175" t="str">
        <f>IF(LEN(A1831)=0,"",INDEX('Smelter Look-up'!$A:$A,MATCH($A1831,'Smelter Look-up'!$E:$E,0)))</f>
        <v/>
      </c>
      <c r="C1831" s="179" t="str">
        <f>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58"/>
        <v/>
      </c>
      <c r="T1831" s="174" t="str">
        <f ca="1">IF(B1831="","",IF(ISERROR(MATCH($J1831,SorP!$B$1:$B$6279,0)),"",INDIRECT("'SorP'!$A$"&amp;MATCH($S1831&amp;$J1831,SorP!C:C,0))))</f>
        <v/>
      </c>
      <c r="U1831" s="194"/>
      <c r="V1831" s="218" t="e">
        <f>IF(C1831="",NA(),IF(OR(C1831="Smelter not listed",C1831="Smelter not yet identified"),MATCH($B1831&amp;$D1831,'Smelter Look-up'!$J:$J,0),MATCH($B1831&amp;$C1831,'Smelter Look-up'!$J:$J,0)))</f>
        <v>#N/A</v>
      </c>
      <c r="X1831" s="219">
        <f t="shared" ca="1" si="259"/>
        <v>0</v>
      </c>
      <c r="AB1831" s="220" t="str">
        <f t="shared" si="260"/>
        <v/>
      </c>
    </row>
    <row r="1832" spans="1:28" s="219" customFormat="1" ht="20.25">
      <c r="A1832" s="174"/>
      <c r="B1832" s="175" t="str">
        <f>IF(LEN(A1832)=0,"",INDEX('Smelter Look-up'!$A:$A,MATCH($A1832,'Smelter Look-up'!$E:$E,0)))</f>
        <v/>
      </c>
      <c r="C1832" s="179" t="str">
        <f>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58"/>
        <v/>
      </c>
      <c r="T1832" s="174" t="str">
        <f ca="1">IF(B1832="","",IF(ISERROR(MATCH($J1832,SorP!$B$1:$B$6279,0)),"",INDIRECT("'SorP'!$A$"&amp;MATCH($S1832&amp;$J1832,SorP!C:C,0))))</f>
        <v/>
      </c>
      <c r="U1832" s="194"/>
      <c r="V1832" s="218" t="e">
        <f>IF(C1832="",NA(),IF(OR(C1832="Smelter not listed",C1832="Smelter not yet identified"),MATCH($B1832&amp;$D1832,'Smelter Look-up'!$J:$J,0),MATCH($B1832&amp;$C1832,'Smelter Look-up'!$J:$J,0)))</f>
        <v>#N/A</v>
      </c>
      <c r="X1832" s="219">
        <f t="shared" ca="1" si="259"/>
        <v>0</v>
      </c>
      <c r="AB1832" s="220" t="str">
        <f t="shared" si="260"/>
        <v/>
      </c>
    </row>
    <row r="1833" spans="1:28" s="219" customFormat="1" ht="20.25">
      <c r="A1833" s="174"/>
      <c r="B1833" s="175" t="str">
        <f>IF(LEN(A1833)=0,"",INDEX('Smelter Look-up'!$A:$A,MATCH($A1833,'Smelter Look-up'!$E:$E,0)))</f>
        <v/>
      </c>
      <c r="C1833" s="179" t="str">
        <f>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58"/>
        <v/>
      </c>
      <c r="T1833" s="174" t="str">
        <f ca="1">IF(B1833="","",IF(ISERROR(MATCH($J1833,SorP!$B$1:$B$6279,0)),"",INDIRECT("'SorP'!$A$"&amp;MATCH($S1833&amp;$J1833,SorP!C:C,0))))</f>
        <v/>
      </c>
      <c r="U1833" s="194"/>
      <c r="V1833" s="218" t="e">
        <f>IF(C1833="",NA(),IF(OR(C1833="Smelter not listed",C1833="Smelter not yet identified"),MATCH($B1833&amp;$D1833,'Smelter Look-up'!$J:$J,0),MATCH($B1833&amp;$C1833,'Smelter Look-up'!$J:$J,0)))</f>
        <v>#N/A</v>
      </c>
      <c r="X1833" s="219">
        <f t="shared" ca="1" si="259"/>
        <v>0</v>
      </c>
      <c r="AB1833" s="220" t="str">
        <f t="shared" si="260"/>
        <v/>
      </c>
    </row>
    <row r="1834" spans="1:28" s="219" customFormat="1" ht="20.25">
      <c r="A1834" s="174"/>
      <c r="B1834" s="175" t="str">
        <f>IF(LEN(A1834)=0,"",INDEX('Smelter Look-up'!$A:$A,MATCH($A1834,'Smelter Look-up'!$E:$E,0)))</f>
        <v/>
      </c>
      <c r="C1834" s="179" t="str">
        <f>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58"/>
        <v/>
      </c>
      <c r="T1834" s="174" t="str">
        <f ca="1">IF(B1834="","",IF(ISERROR(MATCH($J1834,SorP!$B$1:$B$6279,0)),"",INDIRECT("'SorP'!$A$"&amp;MATCH($S1834&amp;$J1834,SorP!C:C,0))))</f>
        <v/>
      </c>
      <c r="U1834" s="194"/>
      <c r="V1834" s="218" t="e">
        <f>IF(C1834="",NA(),IF(OR(C1834="Smelter not listed",C1834="Smelter not yet identified"),MATCH($B1834&amp;$D1834,'Smelter Look-up'!$J:$J,0),MATCH($B1834&amp;$C1834,'Smelter Look-up'!$J:$J,0)))</f>
        <v>#N/A</v>
      </c>
      <c r="X1834" s="219">
        <f t="shared" ca="1" si="259"/>
        <v>0</v>
      </c>
      <c r="AB1834" s="220" t="str">
        <f t="shared" si="260"/>
        <v/>
      </c>
    </row>
    <row r="1835" spans="1:28" s="219" customFormat="1" ht="20.25">
      <c r="A1835" s="174"/>
      <c r="B1835" s="175" t="str">
        <f>IF(LEN(A1835)=0,"",INDEX('Smelter Look-up'!$A:$A,MATCH($A1835,'Smelter Look-up'!$E:$E,0)))</f>
        <v/>
      </c>
      <c r="C1835" s="179" t="str">
        <f>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58"/>
        <v/>
      </c>
      <c r="T1835" s="174" t="str">
        <f ca="1">IF(B1835="","",IF(ISERROR(MATCH($J1835,SorP!$B$1:$B$6279,0)),"",INDIRECT("'SorP'!$A$"&amp;MATCH($S1835&amp;$J1835,SorP!C:C,0))))</f>
        <v/>
      </c>
      <c r="U1835" s="194"/>
      <c r="V1835" s="218" t="e">
        <f>IF(C1835="",NA(),IF(OR(C1835="Smelter not listed",C1835="Smelter not yet identified"),MATCH($B1835&amp;$D1835,'Smelter Look-up'!$J:$J,0),MATCH($B1835&amp;$C1835,'Smelter Look-up'!$J:$J,0)))</f>
        <v>#N/A</v>
      </c>
      <c r="X1835" s="219">
        <f t="shared" ca="1" si="259"/>
        <v>0</v>
      </c>
      <c r="AB1835" s="220" t="str">
        <f t="shared" si="260"/>
        <v/>
      </c>
    </row>
    <row r="1836" spans="1:28" s="219" customFormat="1" ht="20.25">
      <c r="A1836" s="174"/>
      <c r="B1836" s="175" t="str">
        <f>IF(LEN(A1836)=0,"",INDEX('Smelter Look-up'!$A:$A,MATCH($A1836,'Smelter Look-up'!$E:$E,0)))</f>
        <v/>
      </c>
      <c r="C1836" s="179" t="str">
        <f>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58"/>
        <v/>
      </c>
      <c r="T1836" s="174" t="str">
        <f ca="1">IF(B1836="","",IF(ISERROR(MATCH($J1836,SorP!$B$1:$B$6279,0)),"",INDIRECT("'SorP'!$A$"&amp;MATCH($S1836&amp;$J1836,SorP!C:C,0))))</f>
        <v/>
      </c>
      <c r="U1836" s="194"/>
      <c r="V1836" s="218" t="e">
        <f>IF(C1836="",NA(),IF(OR(C1836="Smelter not listed",C1836="Smelter not yet identified"),MATCH($B1836&amp;$D1836,'Smelter Look-up'!$J:$J,0),MATCH($B1836&amp;$C1836,'Smelter Look-up'!$J:$J,0)))</f>
        <v>#N/A</v>
      </c>
      <c r="X1836" s="219">
        <f t="shared" ca="1" si="259"/>
        <v>0</v>
      </c>
      <c r="AB1836" s="220" t="str">
        <f t="shared" si="260"/>
        <v/>
      </c>
    </row>
    <row r="1837" spans="1:28" s="219" customFormat="1" ht="20.25">
      <c r="A1837" s="174"/>
      <c r="B1837" s="175" t="str">
        <f>IF(LEN(A1837)=0,"",INDEX('Smelter Look-up'!$A:$A,MATCH($A1837,'Smelter Look-up'!$E:$E,0)))</f>
        <v/>
      </c>
      <c r="C1837" s="179" t="str">
        <f>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58"/>
        <v/>
      </c>
      <c r="T1837" s="174" t="str">
        <f ca="1">IF(B1837="","",IF(ISERROR(MATCH($J1837,SorP!$B$1:$B$6279,0)),"",INDIRECT("'SorP'!$A$"&amp;MATCH($S1837&amp;$J1837,SorP!C:C,0))))</f>
        <v/>
      </c>
      <c r="U1837" s="194"/>
      <c r="V1837" s="218" t="e">
        <f>IF(C1837="",NA(),IF(OR(C1837="Smelter not listed",C1837="Smelter not yet identified"),MATCH($B1837&amp;$D1837,'Smelter Look-up'!$J:$J,0),MATCH($B1837&amp;$C1837,'Smelter Look-up'!$J:$J,0)))</f>
        <v>#N/A</v>
      </c>
      <c r="X1837" s="219">
        <f t="shared" ca="1" si="259"/>
        <v>0</v>
      </c>
      <c r="AB1837" s="220" t="str">
        <f t="shared" si="260"/>
        <v/>
      </c>
    </row>
    <row r="1838" spans="1:28" s="219" customFormat="1" ht="20.25">
      <c r="A1838" s="174"/>
      <c r="B1838" s="175" t="str">
        <f>IF(LEN(A1838)=0,"",INDEX('Smelter Look-up'!$A:$A,MATCH($A1838,'Smelter Look-up'!$E:$E,0)))</f>
        <v/>
      </c>
      <c r="C1838" s="179" t="str">
        <f>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58"/>
        <v/>
      </c>
      <c r="T1838" s="174" t="str">
        <f ca="1">IF(B1838="","",IF(ISERROR(MATCH($J1838,SorP!$B$1:$B$6279,0)),"",INDIRECT("'SorP'!$A$"&amp;MATCH($S1838&amp;$J1838,SorP!C:C,0))))</f>
        <v/>
      </c>
      <c r="U1838" s="194"/>
      <c r="V1838" s="218" t="e">
        <f>IF(C1838="",NA(),IF(OR(C1838="Smelter not listed",C1838="Smelter not yet identified"),MATCH($B1838&amp;$D1838,'Smelter Look-up'!$J:$J,0),MATCH($B1838&amp;$C1838,'Smelter Look-up'!$J:$J,0)))</f>
        <v>#N/A</v>
      </c>
      <c r="X1838" s="219">
        <f t="shared" ca="1" si="259"/>
        <v>0</v>
      </c>
      <c r="AB1838" s="220" t="str">
        <f t="shared" si="260"/>
        <v/>
      </c>
    </row>
    <row r="1839" spans="1:28" s="219" customFormat="1" ht="20.25">
      <c r="A1839" s="174"/>
      <c r="B1839" s="175" t="str">
        <f>IF(LEN(A1839)=0,"",INDEX('Smelter Look-up'!$A:$A,MATCH($A1839,'Smelter Look-up'!$E:$E,0)))</f>
        <v/>
      </c>
      <c r="C1839" s="179" t="str">
        <f>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58"/>
        <v/>
      </c>
      <c r="T1839" s="174" t="str">
        <f ca="1">IF(B1839="","",IF(ISERROR(MATCH($J1839,SorP!$B$1:$B$6279,0)),"",INDIRECT("'SorP'!$A$"&amp;MATCH($S1839&amp;$J1839,SorP!C:C,0))))</f>
        <v/>
      </c>
      <c r="U1839" s="194"/>
      <c r="V1839" s="218" t="e">
        <f>IF(C1839="",NA(),IF(OR(C1839="Smelter not listed",C1839="Smelter not yet identified"),MATCH($B1839&amp;$D1839,'Smelter Look-up'!$J:$J,0),MATCH($B1839&amp;$C1839,'Smelter Look-up'!$J:$J,0)))</f>
        <v>#N/A</v>
      </c>
      <c r="X1839" s="219">
        <f t="shared" ca="1" si="259"/>
        <v>0</v>
      </c>
      <c r="AB1839" s="220" t="str">
        <f t="shared" si="260"/>
        <v/>
      </c>
    </row>
    <row r="1840" spans="1:28" s="219" customFormat="1" ht="20.25">
      <c r="A1840" s="174"/>
      <c r="B1840" s="175" t="str">
        <f>IF(LEN(A1840)=0,"",INDEX('Smelter Look-up'!$A:$A,MATCH($A1840,'Smelter Look-up'!$E:$E,0)))</f>
        <v/>
      </c>
      <c r="C1840" s="179" t="str">
        <f>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58"/>
        <v/>
      </c>
      <c r="T1840" s="174" t="str">
        <f ca="1">IF(B1840="","",IF(ISERROR(MATCH($J1840,SorP!$B$1:$B$6279,0)),"",INDIRECT("'SorP'!$A$"&amp;MATCH($S1840&amp;$J1840,SorP!C:C,0))))</f>
        <v/>
      </c>
      <c r="U1840" s="194"/>
      <c r="V1840" s="218" t="e">
        <f>IF(C1840="",NA(),IF(OR(C1840="Smelter not listed",C1840="Smelter not yet identified"),MATCH($B1840&amp;$D1840,'Smelter Look-up'!$J:$J,0),MATCH($B1840&amp;$C1840,'Smelter Look-up'!$J:$J,0)))</f>
        <v>#N/A</v>
      </c>
      <c r="X1840" s="219">
        <f t="shared" ca="1" si="259"/>
        <v>0</v>
      </c>
      <c r="AB1840" s="220" t="str">
        <f t="shared" si="260"/>
        <v/>
      </c>
    </row>
    <row r="1841" spans="1:28" s="219" customFormat="1" ht="20.25">
      <c r="A1841" s="174"/>
      <c r="B1841" s="175" t="str">
        <f>IF(LEN(A1841)=0,"",INDEX('Smelter Look-up'!$A:$A,MATCH($A1841,'Smelter Look-up'!$E:$E,0)))</f>
        <v/>
      </c>
      <c r="C1841" s="179" t="str">
        <f>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58"/>
        <v/>
      </c>
      <c r="T1841" s="174" t="str">
        <f ca="1">IF(B1841="","",IF(ISERROR(MATCH($J1841,SorP!$B$1:$B$6279,0)),"",INDIRECT("'SorP'!$A$"&amp;MATCH($S1841&amp;$J1841,SorP!C:C,0))))</f>
        <v/>
      </c>
      <c r="U1841" s="194"/>
      <c r="V1841" s="218" t="e">
        <f>IF(C1841="",NA(),IF(OR(C1841="Smelter not listed",C1841="Smelter not yet identified"),MATCH($B1841&amp;$D1841,'Smelter Look-up'!$J:$J,0),MATCH($B1841&amp;$C1841,'Smelter Look-up'!$J:$J,0)))</f>
        <v>#N/A</v>
      </c>
      <c r="X1841" s="219">
        <f t="shared" ca="1" si="259"/>
        <v>0</v>
      </c>
      <c r="AB1841" s="220" t="str">
        <f t="shared" si="260"/>
        <v/>
      </c>
    </row>
    <row r="1842" spans="1:28" s="219" customFormat="1" ht="20.25">
      <c r="A1842" s="174"/>
      <c r="B1842" s="175" t="str">
        <f>IF(LEN(A1842)=0,"",INDEX('Smelter Look-up'!$A:$A,MATCH($A1842,'Smelter Look-up'!$E:$E,0)))</f>
        <v/>
      </c>
      <c r="C1842" s="179" t="str">
        <f>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58"/>
        <v/>
      </c>
      <c r="T1842" s="174" t="str">
        <f ca="1">IF(B1842="","",IF(ISERROR(MATCH($J1842,SorP!$B$1:$B$6279,0)),"",INDIRECT("'SorP'!$A$"&amp;MATCH($S1842&amp;$J1842,SorP!C:C,0))))</f>
        <v/>
      </c>
      <c r="U1842" s="194"/>
      <c r="V1842" s="218" t="e">
        <f>IF(C1842="",NA(),IF(OR(C1842="Smelter not listed",C1842="Smelter not yet identified"),MATCH($B1842&amp;$D1842,'Smelter Look-up'!$J:$J,0),MATCH($B1842&amp;$C1842,'Smelter Look-up'!$J:$J,0)))</f>
        <v>#N/A</v>
      </c>
      <c r="X1842" s="219">
        <f t="shared" ca="1" si="259"/>
        <v>0</v>
      </c>
      <c r="AB1842" s="220" t="str">
        <f t="shared" si="260"/>
        <v/>
      </c>
    </row>
    <row r="1843" spans="1:28" s="219" customFormat="1" ht="20.25">
      <c r="A1843" s="174"/>
      <c r="B1843" s="175" t="str">
        <f>IF(LEN(A1843)=0,"",INDEX('Smelter Look-up'!$A:$A,MATCH($A1843,'Smelter Look-up'!$E:$E,0)))</f>
        <v/>
      </c>
      <c r="C1843" s="179" t="str">
        <f>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258"/>
        <v/>
      </c>
      <c r="T1843" s="174" t="str">
        <f ca="1">IF(B1843="","",IF(ISERROR(MATCH($J1843,SorP!$B$1:$B$6279,0)),"",INDIRECT("'SorP'!$A$"&amp;MATCH($S1843&amp;$J1843,SorP!C:C,0))))</f>
        <v/>
      </c>
      <c r="U1843" s="194"/>
      <c r="V1843" s="218" t="e">
        <f>IF(C1843="",NA(),IF(OR(C1843="Smelter not listed",C1843="Smelter not yet identified"),MATCH($B1843&amp;$D1843,'Smelter Look-up'!$J:$J,0),MATCH($B1843&amp;$C1843,'Smelter Look-up'!$J:$J,0)))</f>
        <v>#N/A</v>
      </c>
      <c r="X1843" s="219">
        <f t="shared" ca="1" si="259"/>
        <v>0</v>
      </c>
      <c r="AB1843" s="220" t="str">
        <f t="shared" si="260"/>
        <v/>
      </c>
    </row>
    <row r="1844" spans="1:28" s="219" customFormat="1" ht="20.25">
      <c r="A1844" s="174"/>
      <c r="B1844" s="175" t="str">
        <f>IF(LEN(A1844)=0,"",INDEX('Smelter Look-up'!$A:$A,MATCH($A1844,'Smelter Look-up'!$E:$E,0)))</f>
        <v/>
      </c>
      <c r="C1844" s="179" t="str">
        <f>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58"/>
        <v/>
      </c>
      <c r="T1844" s="174" t="str">
        <f ca="1">IF(B1844="","",IF(ISERROR(MATCH($J1844,SorP!$B$1:$B$6279,0)),"",INDIRECT("'SorP'!$A$"&amp;MATCH($S1844&amp;$J1844,SorP!C:C,0))))</f>
        <v/>
      </c>
      <c r="U1844" s="194"/>
      <c r="V1844" s="218" t="e">
        <f>IF(C1844="",NA(),IF(OR(C1844="Smelter not listed",C1844="Smelter not yet identified"),MATCH($B1844&amp;$D1844,'Smelter Look-up'!$J:$J,0),MATCH($B1844&amp;$C1844,'Smelter Look-up'!$J:$J,0)))</f>
        <v>#N/A</v>
      </c>
      <c r="X1844" s="219">
        <f t="shared" ca="1" si="259"/>
        <v>0</v>
      </c>
      <c r="AB1844" s="220" t="str">
        <f t="shared" si="260"/>
        <v/>
      </c>
    </row>
    <row r="1845" spans="1:28" s="219" customFormat="1" ht="20.25">
      <c r="A1845" s="174"/>
      <c r="B1845" s="175" t="str">
        <f>IF(LEN(A1845)=0,"",INDEX('Smelter Look-up'!$A:$A,MATCH($A1845,'Smelter Look-up'!$E:$E,0)))</f>
        <v/>
      </c>
      <c r="C1845" s="179" t="str">
        <f>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58"/>
        <v/>
      </c>
      <c r="T1845" s="174" t="str">
        <f ca="1">IF(B1845="","",IF(ISERROR(MATCH($J1845,SorP!$B$1:$B$6279,0)),"",INDIRECT("'SorP'!$A$"&amp;MATCH($S1845&amp;$J1845,SorP!C:C,0))))</f>
        <v/>
      </c>
      <c r="U1845" s="194"/>
      <c r="V1845" s="218" t="e">
        <f>IF(C1845="",NA(),IF(OR(C1845="Smelter not listed",C1845="Smelter not yet identified"),MATCH($B1845&amp;$D1845,'Smelter Look-up'!$J:$J,0),MATCH($B1845&amp;$C1845,'Smelter Look-up'!$J:$J,0)))</f>
        <v>#N/A</v>
      </c>
      <c r="X1845" s="219">
        <f t="shared" ca="1" si="259"/>
        <v>0</v>
      </c>
      <c r="AB1845" s="220" t="str">
        <f t="shared" si="260"/>
        <v/>
      </c>
    </row>
    <row r="1846" spans="1:28" s="219" customFormat="1" ht="20.25">
      <c r="A1846" s="174"/>
      <c r="B1846" s="175" t="str">
        <f>IF(LEN(A1846)=0,"",INDEX('Smelter Look-up'!$A:$A,MATCH($A1846,'Smelter Look-up'!$E:$E,0)))</f>
        <v/>
      </c>
      <c r="C1846" s="179" t="str">
        <f>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58"/>
        <v/>
      </c>
      <c r="T1846" s="174" t="str">
        <f ca="1">IF(B1846="","",IF(ISERROR(MATCH($J1846,SorP!$B$1:$B$6279,0)),"",INDIRECT("'SorP'!$A$"&amp;MATCH($S1846&amp;$J1846,SorP!C:C,0))))</f>
        <v/>
      </c>
      <c r="U1846" s="194"/>
      <c r="V1846" s="218" t="e">
        <f>IF(C1846="",NA(),IF(OR(C1846="Smelter not listed",C1846="Smelter not yet identified"),MATCH($B1846&amp;$D1846,'Smelter Look-up'!$J:$J,0),MATCH($B1846&amp;$C1846,'Smelter Look-up'!$J:$J,0)))</f>
        <v>#N/A</v>
      </c>
      <c r="X1846" s="219">
        <f t="shared" ca="1" si="259"/>
        <v>0</v>
      </c>
      <c r="AB1846" s="220" t="str">
        <f t="shared" si="260"/>
        <v/>
      </c>
    </row>
    <row r="1847" spans="1:28" s="219" customFormat="1" ht="20.25">
      <c r="A1847" s="174"/>
      <c r="B1847" s="175" t="str">
        <f>IF(LEN(A1847)=0,"",INDEX('Smelter Look-up'!$A:$A,MATCH($A1847,'Smelter Look-up'!$E:$E,0)))</f>
        <v/>
      </c>
      <c r="C1847" s="179" t="str">
        <f>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58"/>
        <v/>
      </c>
      <c r="T1847" s="174" t="str">
        <f ca="1">IF(B1847="","",IF(ISERROR(MATCH($J1847,SorP!$B$1:$B$6279,0)),"",INDIRECT("'SorP'!$A$"&amp;MATCH($S1847&amp;$J1847,SorP!C:C,0))))</f>
        <v/>
      </c>
      <c r="U1847" s="194"/>
      <c r="V1847" s="218" t="e">
        <f>IF(C1847="",NA(),IF(OR(C1847="Smelter not listed",C1847="Smelter not yet identified"),MATCH($B1847&amp;$D1847,'Smelter Look-up'!$J:$J,0),MATCH($B1847&amp;$C1847,'Smelter Look-up'!$J:$J,0)))</f>
        <v>#N/A</v>
      </c>
      <c r="X1847" s="219">
        <f t="shared" ca="1" si="259"/>
        <v>0</v>
      </c>
      <c r="AB1847" s="220" t="str">
        <f t="shared" si="260"/>
        <v/>
      </c>
    </row>
    <row r="1848" spans="1:28" s="219" customFormat="1" ht="20.25">
      <c r="A1848" s="174"/>
      <c r="B1848" s="175" t="str">
        <f>IF(LEN(A1848)=0,"",INDEX('Smelter Look-up'!$A:$A,MATCH($A1848,'Smelter Look-up'!$E:$E,0)))</f>
        <v/>
      </c>
      <c r="C1848" s="179" t="str">
        <f>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58"/>
        <v/>
      </c>
      <c r="T1848" s="174" t="str">
        <f ca="1">IF(B1848="","",IF(ISERROR(MATCH($J1848,SorP!$B$1:$B$6279,0)),"",INDIRECT("'SorP'!$A$"&amp;MATCH($S1848&amp;$J1848,SorP!C:C,0))))</f>
        <v/>
      </c>
      <c r="U1848" s="194"/>
      <c r="V1848" s="218" t="e">
        <f>IF(C1848="",NA(),IF(OR(C1848="Smelter not listed",C1848="Smelter not yet identified"),MATCH($B1848&amp;$D1848,'Smelter Look-up'!$J:$J,0),MATCH($B1848&amp;$C1848,'Smelter Look-up'!$J:$J,0)))</f>
        <v>#N/A</v>
      </c>
      <c r="X1848" s="219">
        <f t="shared" ca="1" si="259"/>
        <v>0</v>
      </c>
      <c r="AB1848" s="220" t="str">
        <f t="shared" si="260"/>
        <v/>
      </c>
    </row>
    <row r="1849" spans="1:28" s="219" customFormat="1" ht="20.25">
      <c r="A1849" s="174"/>
      <c r="B1849" s="175" t="str">
        <f>IF(LEN(A1849)=0,"",INDEX('Smelter Look-up'!$A:$A,MATCH($A1849,'Smelter Look-up'!$E:$E,0)))</f>
        <v/>
      </c>
      <c r="C1849" s="179" t="str">
        <f>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258"/>
        <v/>
      </c>
      <c r="T1849" s="174" t="str">
        <f ca="1">IF(B1849="","",IF(ISERROR(MATCH($J1849,SorP!$B$1:$B$6279,0)),"",INDIRECT("'SorP'!$A$"&amp;MATCH($S1849&amp;$J1849,SorP!C:C,0))))</f>
        <v/>
      </c>
      <c r="U1849" s="194"/>
      <c r="V1849" s="218" t="e">
        <f>IF(C1849="",NA(),IF(OR(C1849="Smelter not listed",C1849="Smelter not yet identified"),MATCH($B1849&amp;$D1849,'Smelter Look-up'!$J:$J,0),MATCH($B1849&amp;$C1849,'Smelter Look-up'!$J:$J,0)))</f>
        <v>#N/A</v>
      </c>
      <c r="X1849" s="219">
        <f t="shared" ca="1" si="259"/>
        <v>0</v>
      </c>
      <c r="AB1849" s="220" t="str">
        <f t="shared" si="260"/>
        <v/>
      </c>
    </row>
    <row r="1850" spans="1:28" s="219" customFormat="1" ht="20.25">
      <c r="A1850" s="174"/>
      <c r="B1850" s="175" t="str">
        <f>IF(LEN(A1850)=0,"",INDEX('Smelter Look-up'!$A:$A,MATCH($A1850,'Smelter Look-up'!$E:$E,0)))</f>
        <v/>
      </c>
      <c r="C1850" s="179" t="str">
        <f>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ca="1" si="258"/>
        <v/>
      </c>
      <c r="T1850" s="174" t="str">
        <f ca="1">IF(B1850="","",IF(ISERROR(MATCH($J1850,SorP!$B$1:$B$6279,0)),"",INDIRECT("'SorP'!$A$"&amp;MATCH($S1850&amp;$J1850,SorP!C:C,0))))</f>
        <v/>
      </c>
      <c r="U1850" s="194"/>
      <c r="V1850" s="218" t="e">
        <f>IF(C1850="",NA(),IF(OR(C1850="Smelter not listed",C1850="Smelter not yet identified"),MATCH($B1850&amp;$D1850,'Smelter Look-up'!$J:$J,0),MATCH($B1850&amp;$C1850,'Smelter Look-up'!$J:$J,0)))</f>
        <v>#N/A</v>
      </c>
      <c r="X1850" s="219">
        <f t="shared" ca="1" si="259"/>
        <v>0</v>
      </c>
      <c r="AB1850" s="220" t="str">
        <f t="shared" si="260"/>
        <v/>
      </c>
    </row>
    <row r="1851" spans="1:28" s="219" customFormat="1" ht="20.25">
      <c r="A1851" s="174"/>
      <c r="B1851" s="175" t="str">
        <f>IF(LEN(A1851)=0,"",INDEX('Smelter Look-up'!$A:$A,MATCH($A1851,'Smelter Look-up'!$E:$E,0)))</f>
        <v/>
      </c>
      <c r="C1851" s="179" t="str">
        <f>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ref="S1851" ca="1" si="261">IF(B1851="","",IF(ISERROR(MATCH($E1851,CL,0)),"Unknown",INDIRECT("'C'!$A$"&amp;MATCH($E1851,CL,0)+1)))</f>
        <v/>
      </c>
      <c r="T1851" s="174" t="str">
        <f ca="1">IF(B1851="","",IF(ISERROR(MATCH($J1851,SorP!$B$1:$B$6279,0)),"",INDIRECT("'SorP'!$A$"&amp;MATCH($S1851&amp;$J1851,SorP!C:C,0))))</f>
        <v/>
      </c>
      <c r="U1851" s="194"/>
      <c r="V1851" s="218" t="e">
        <f>IF(C1851="",NA(),IF(OR(C1851="Smelter not listed",C1851="Smelter not yet identified"),MATCH($B1851&amp;$D1851,'Smelter Look-up'!$J:$J,0),MATCH($B1851&amp;$C1851,'Smelter Look-up'!$J:$J,0)))</f>
        <v>#N/A</v>
      </c>
      <c r="X1851" s="219">
        <f t="shared" ref="X1851" ca="1" si="262">IF(AND(C1851="Smelter not listed",OR(LEN(D1851)=0,LEN(E1851)=0)),1,0)</f>
        <v>0</v>
      </c>
      <c r="AB1851" s="220" t="str">
        <f t="shared" ref="AB1851" si="263">B1851&amp;C1851</f>
        <v/>
      </c>
    </row>
    <row r="1852" spans="1:28" s="219" customFormat="1" ht="20.25">
      <c r="A1852" s="174"/>
      <c r="B1852" s="175" t="str">
        <f>IF(LEN(A1852)=0,"",INDEX('Smelter Look-up'!$A:$A,MATCH($A1852,'Smelter Look-up'!$E:$E,0)))</f>
        <v/>
      </c>
      <c r="C1852" s="179" t="str">
        <f>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ref="S1852:S1883" ca="1" si="264">IF(B1852="","",IF(ISERROR(MATCH($E1852,CL,0)),"Unknown",INDIRECT("'C'!$A$"&amp;MATCH($E1852,CL,0)+1)))</f>
        <v/>
      </c>
      <c r="T1852" s="174" t="str">
        <f ca="1">IF(B1852="","",IF(ISERROR(MATCH($J1852,SorP!$B$1:$B$6279,0)),"",INDIRECT("'SorP'!$A$"&amp;MATCH($S1852&amp;$J1852,SorP!C:C,0))))</f>
        <v/>
      </c>
      <c r="U1852" s="194"/>
      <c r="V1852" s="218" t="e">
        <f>IF(C1852="",NA(),IF(OR(C1852="Smelter not listed",C1852="Smelter not yet identified"),MATCH($B1852&amp;$D1852,'Smelter Look-up'!$J:$J,0),MATCH($B1852&amp;$C1852,'Smelter Look-up'!$J:$J,0)))</f>
        <v>#N/A</v>
      </c>
      <c r="X1852" s="219">
        <f t="shared" ref="X1852:X1883" ca="1" si="265">IF(AND(C1852="Smelter not listed",OR(LEN(D1852)=0,LEN(E1852)=0)),1,0)</f>
        <v>0</v>
      </c>
      <c r="AB1852" s="220" t="str">
        <f t="shared" ref="AB1852:AB1883" si="266">B1852&amp;C1852</f>
        <v/>
      </c>
    </row>
    <row r="1853" spans="1:28" s="219" customFormat="1" ht="20.25">
      <c r="A1853" s="174"/>
      <c r="B1853" s="175" t="str">
        <f>IF(LEN(A1853)=0,"",INDEX('Smelter Look-up'!$A:$A,MATCH($A1853,'Smelter Look-up'!$E:$E,0)))</f>
        <v/>
      </c>
      <c r="C1853" s="179" t="str">
        <f>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64"/>
        <v/>
      </c>
      <c r="T1853" s="174" t="str">
        <f ca="1">IF(B1853="","",IF(ISERROR(MATCH($J1853,SorP!$B$1:$B$6279,0)),"",INDIRECT("'SorP'!$A$"&amp;MATCH($S1853&amp;$J1853,SorP!C:C,0))))</f>
        <v/>
      </c>
      <c r="U1853" s="194"/>
      <c r="V1853" s="218" t="e">
        <f>IF(C1853="",NA(),IF(OR(C1853="Smelter not listed",C1853="Smelter not yet identified"),MATCH($B1853&amp;$D1853,'Smelter Look-up'!$J:$J,0),MATCH($B1853&amp;$C1853,'Smelter Look-up'!$J:$J,0)))</f>
        <v>#N/A</v>
      </c>
      <c r="X1853" s="219">
        <f t="shared" ca="1" si="265"/>
        <v>0</v>
      </c>
      <c r="AB1853" s="220" t="str">
        <f t="shared" si="266"/>
        <v/>
      </c>
    </row>
    <row r="1854" spans="1:28" s="219" customFormat="1" ht="20.25">
      <c r="A1854" s="174"/>
      <c r="B1854" s="175" t="str">
        <f>IF(LEN(A1854)=0,"",INDEX('Smelter Look-up'!$A:$A,MATCH($A1854,'Smelter Look-up'!$E:$E,0)))</f>
        <v/>
      </c>
      <c r="C1854" s="179" t="str">
        <f>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64"/>
        <v/>
      </c>
      <c r="T1854" s="174" t="str">
        <f ca="1">IF(B1854="","",IF(ISERROR(MATCH($J1854,SorP!$B$1:$B$6279,0)),"",INDIRECT("'SorP'!$A$"&amp;MATCH($S1854&amp;$J1854,SorP!C:C,0))))</f>
        <v/>
      </c>
      <c r="U1854" s="194"/>
      <c r="V1854" s="218" t="e">
        <f>IF(C1854="",NA(),IF(OR(C1854="Smelter not listed",C1854="Smelter not yet identified"),MATCH($B1854&amp;$D1854,'Smelter Look-up'!$J:$J,0),MATCH($B1854&amp;$C1854,'Smelter Look-up'!$J:$J,0)))</f>
        <v>#N/A</v>
      </c>
      <c r="X1854" s="219">
        <f t="shared" ca="1" si="265"/>
        <v>0</v>
      </c>
      <c r="AB1854" s="220" t="str">
        <f t="shared" si="266"/>
        <v/>
      </c>
    </row>
    <row r="1855" spans="1:28" s="219" customFormat="1" ht="20.25">
      <c r="A1855" s="174"/>
      <c r="B1855" s="175" t="str">
        <f>IF(LEN(A1855)=0,"",INDEX('Smelter Look-up'!$A:$A,MATCH($A1855,'Smelter Look-up'!$E:$E,0)))</f>
        <v/>
      </c>
      <c r="C1855" s="179" t="str">
        <f>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64"/>
        <v/>
      </c>
      <c r="T1855" s="174" t="str">
        <f ca="1">IF(B1855="","",IF(ISERROR(MATCH($J1855,SorP!$B$1:$B$6279,0)),"",INDIRECT("'SorP'!$A$"&amp;MATCH($S1855&amp;$J1855,SorP!C:C,0))))</f>
        <v/>
      </c>
      <c r="U1855" s="194"/>
      <c r="V1855" s="218" t="e">
        <f>IF(C1855="",NA(),IF(OR(C1855="Smelter not listed",C1855="Smelter not yet identified"),MATCH($B1855&amp;$D1855,'Smelter Look-up'!$J:$J,0),MATCH($B1855&amp;$C1855,'Smelter Look-up'!$J:$J,0)))</f>
        <v>#N/A</v>
      </c>
      <c r="X1855" s="219">
        <f t="shared" ca="1" si="265"/>
        <v>0</v>
      </c>
      <c r="AB1855" s="220" t="str">
        <f t="shared" si="266"/>
        <v/>
      </c>
    </row>
    <row r="1856" spans="1:28" s="219" customFormat="1" ht="20.25">
      <c r="A1856" s="174"/>
      <c r="B1856" s="175" t="str">
        <f>IF(LEN(A1856)=0,"",INDEX('Smelter Look-up'!$A:$A,MATCH($A1856,'Smelter Look-up'!$E:$E,0)))</f>
        <v/>
      </c>
      <c r="C1856" s="179" t="str">
        <f>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64"/>
        <v/>
      </c>
      <c r="T1856" s="174" t="str">
        <f ca="1">IF(B1856="","",IF(ISERROR(MATCH($J1856,SorP!$B$1:$B$6279,0)),"",INDIRECT("'SorP'!$A$"&amp;MATCH($S1856&amp;$J1856,SorP!C:C,0))))</f>
        <v/>
      </c>
      <c r="U1856" s="194"/>
      <c r="V1856" s="218" t="e">
        <f>IF(C1856="",NA(),IF(OR(C1856="Smelter not listed",C1856="Smelter not yet identified"),MATCH($B1856&amp;$D1856,'Smelter Look-up'!$J:$J,0),MATCH($B1856&amp;$C1856,'Smelter Look-up'!$J:$J,0)))</f>
        <v>#N/A</v>
      </c>
      <c r="X1856" s="219">
        <f t="shared" ca="1" si="265"/>
        <v>0</v>
      </c>
      <c r="AB1856" s="220" t="str">
        <f t="shared" si="266"/>
        <v/>
      </c>
    </row>
    <row r="1857" spans="1:28" s="219" customFormat="1" ht="20.25">
      <c r="A1857" s="174"/>
      <c r="B1857" s="175" t="str">
        <f>IF(LEN(A1857)=0,"",INDEX('Smelter Look-up'!$A:$A,MATCH($A1857,'Smelter Look-up'!$E:$E,0)))</f>
        <v/>
      </c>
      <c r="C1857" s="179" t="str">
        <f>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64"/>
        <v/>
      </c>
      <c r="T1857" s="174" t="str">
        <f ca="1">IF(B1857="","",IF(ISERROR(MATCH($J1857,SorP!$B$1:$B$6279,0)),"",INDIRECT("'SorP'!$A$"&amp;MATCH($S1857&amp;$J1857,SorP!C:C,0))))</f>
        <v/>
      </c>
      <c r="U1857" s="194"/>
      <c r="V1857" s="218" t="e">
        <f>IF(C1857="",NA(),IF(OR(C1857="Smelter not listed",C1857="Smelter not yet identified"),MATCH($B1857&amp;$D1857,'Smelter Look-up'!$J:$J,0),MATCH($B1857&amp;$C1857,'Smelter Look-up'!$J:$J,0)))</f>
        <v>#N/A</v>
      </c>
      <c r="X1857" s="219">
        <f t="shared" ca="1" si="265"/>
        <v>0</v>
      </c>
      <c r="AB1857" s="220" t="str">
        <f t="shared" si="266"/>
        <v/>
      </c>
    </row>
    <row r="1858" spans="1:28" s="219" customFormat="1" ht="20.25">
      <c r="A1858" s="174"/>
      <c r="B1858" s="175" t="str">
        <f>IF(LEN(A1858)=0,"",INDEX('Smelter Look-up'!$A:$A,MATCH($A1858,'Smelter Look-up'!$E:$E,0)))</f>
        <v/>
      </c>
      <c r="C1858" s="179" t="str">
        <f>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64"/>
        <v/>
      </c>
      <c r="T1858" s="174" t="str">
        <f ca="1">IF(B1858="","",IF(ISERROR(MATCH($J1858,SorP!$B$1:$B$6279,0)),"",INDIRECT("'SorP'!$A$"&amp;MATCH($S1858&amp;$J1858,SorP!C:C,0))))</f>
        <v/>
      </c>
      <c r="U1858" s="194"/>
      <c r="V1858" s="218" t="e">
        <f>IF(C1858="",NA(),IF(OR(C1858="Smelter not listed",C1858="Smelter not yet identified"),MATCH($B1858&amp;$D1858,'Smelter Look-up'!$J:$J,0),MATCH($B1858&amp;$C1858,'Smelter Look-up'!$J:$J,0)))</f>
        <v>#N/A</v>
      </c>
      <c r="X1858" s="219">
        <f t="shared" ca="1" si="265"/>
        <v>0</v>
      </c>
      <c r="AB1858" s="220" t="str">
        <f t="shared" si="266"/>
        <v/>
      </c>
    </row>
    <row r="1859" spans="1:28" s="219" customFormat="1" ht="20.25">
      <c r="A1859" s="174"/>
      <c r="B1859" s="175" t="str">
        <f>IF(LEN(A1859)=0,"",INDEX('Smelter Look-up'!$A:$A,MATCH($A1859,'Smelter Look-up'!$E:$E,0)))</f>
        <v/>
      </c>
      <c r="C1859" s="179" t="str">
        <f>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64"/>
        <v/>
      </c>
      <c r="T1859" s="174" t="str">
        <f ca="1">IF(B1859="","",IF(ISERROR(MATCH($J1859,SorP!$B$1:$B$6279,0)),"",INDIRECT("'SorP'!$A$"&amp;MATCH($S1859&amp;$J1859,SorP!C:C,0))))</f>
        <v/>
      </c>
      <c r="U1859" s="194"/>
      <c r="V1859" s="218" t="e">
        <f>IF(C1859="",NA(),IF(OR(C1859="Smelter not listed",C1859="Smelter not yet identified"),MATCH($B1859&amp;$D1859,'Smelter Look-up'!$J:$J,0),MATCH($B1859&amp;$C1859,'Smelter Look-up'!$J:$J,0)))</f>
        <v>#N/A</v>
      </c>
      <c r="X1859" s="219">
        <f t="shared" ca="1" si="265"/>
        <v>0</v>
      </c>
      <c r="AB1859" s="220" t="str">
        <f t="shared" si="266"/>
        <v/>
      </c>
    </row>
    <row r="1860" spans="1:28" s="219" customFormat="1" ht="20.25">
      <c r="A1860" s="174"/>
      <c r="B1860" s="175" t="str">
        <f>IF(LEN(A1860)=0,"",INDEX('Smelter Look-up'!$A:$A,MATCH($A1860,'Smelter Look-up'!$E:$E,0)))</f>
        <v/>
      </c>
      <c r="C1860" s="179" t="str">
        <f>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64"/>
        <v/>
      </c>
      <c r="T1860" s="174" t="str">
        <f ca="1">IF(B1860="","",IF(ISERROR(MATCH($J1860,SorP!$B$1:$B$6279,0)),"",INDIRECT("'SorP'!$A$"&amp;MATCH($S1860&amp;$J1860,SorP!C:C,0))))</f>
        <v/>
      </c>
      <c r="U1860" s="194"/>
      <c r="V1860" s="218" t="e">
        <f>IF(C1860="",NA(),IF(OR(C1860="Smelter not listed",C1860="Smelter not yet identified"),MATCH($B1860&amp;$D1860,'Smelter Look-up'!$J:$J,0),MATCH($B1860&amp;$C1860,'Smelter Look-up'!$J:$J,0)))</f>
        <v>#N/A</v>
      </c>
      <c r="X1860" s="219">
        <f t="shared" ca="1" si="265"/>
        <v>0</v>
      </c>
      <c r="AB1860" s="220" t="str">
        <f t="shared" si="266"/>
        <v/>
      </c>
    </row>
    <row r="1861" spans="1:28" s="219" customFormat="1" ht="20.25">
      <c r="A1861" s="174"/>
      <c r="B1861" s="175" t="str">
        <f>IF(LEN(A1861)=0,"",INDEX('Smelter Look-up'!$A:$A,MATCH($A1861,'Smelter Look-up'!$E:$E,0)))</f>
        <v/>
      </c>
      <c r="C1861" s="179" t="str">
        <f>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64"/>
        <v/>
      </c>
      <c r="T1861" s="174" t="str">
        <f ca="1">IF(B1861="","",IF(ISERROR(MATCH($J1861,SorP!$B$1:$B$6279,0)),"",INDIRECT("'SorP'!$A$"&amp;MATCH($S1861&amp;$J1861,SorP!C:C,0))))</f>
        <v/>
      </c>
      <c r="U1861" s="194"/>
      <c r="V1861" s="218" t="e">
        <f>IF(C1861="",NA(),IF(OR(C1861="Smelter not listed",C1861="Smelter not yet identified"),MATCH($B1861&amp;$D1861,'Smelter Look-up'!$J:$J,0),MATCH($B1861&amp;$C1861,'Smelter Look-up'!$J:$J,0)))</f>
        <v>#N/A</v>
      </c>
      <c r="X1861" s="219">
        <f t="shared" ca="1" si="265"/>
        <v>0</v>
      </c>
      <c r="AB1861" s="220" t="str">
        <f t="shared" si="266"/>
        <v/>
      </c>
    </row>
    <row r="1862" spans="1:28" s="219" customFormat="1" ht="20.25">
      <c r="A1862" s="174"/>
      <c r="B1862" s="175" t="str">
        <f>IF(LEN(A1862)=0,"",INDEX('Smelter Look-up'!$A:$A,MATCH($A1862,'Smelter Look-up'!$E:$E,0)))</f>
        <v/>
      </c>
      <c r="C1862" s="179" t="str">
        <f>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64"/>
        <v/>
      </c>
      <c r="T1862" s="174" t="str">
        <f ca="1">IF(B1862="","",IF(ISERROR(MATCH($J1862,SorP!$B$1:$B$6279,0)),"",INDIRECT("'SorP'!$A$"&amp;MATCH($S1862&amp;$J1862,SorP!C:C,0))))</f>
        <v/>
      </c>
      <c r="U1862" s="194"/>
      <c r="V1862" s="218" t="e">
        <f>IF(C1862="",NA(),IF(OR(C1862="Smelter not listed",C1862="Smelter not yet identified"),MATCH($B1862&amp;$D1862,'Smelter Look-up'!$J:$J,0),MATCH($B1862&amp;$C1862,'Smelter Look-up'!$J:$J,0)))</f>
        <v>#N/A</v>
      </c>
      <c r="X1862" s="219">
        <f t="shared" ca="1" si="265"/>
        <v>0</v>
      </c>
      <c r="AB1862" s="220" t="str">
        <f t="shared" si="266"/>
        <v/>
      </c>
    </row>
    <row r="1863" spans="1:28" s="219" customFormat="1" ht="20.25">
      <c r="A1863" s="174"/>
      <c r="B1863" s="175" t="str">
        <f>IF(LEN(A1863)=0,"",INDEX('Smelter Look-up'!$A:$A,MATCH($A1863,'Smelter Look-up'!$E:$E,0)))</f>
        <v/>
      </c>
      <c r="C1863" s="179" t="str">
        <f>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64"/>
        <v/>
      </c>
      <c r="T1863" s="174" t="str">
        <f ca="1">IF(B1863="","",IF(ISERROR(MATCH($J1863,SorP!$B$1:$B$6279,0)),"",INDIRECT("'SorP'!$A$"&amp;MATCH($S1863&amp;$J1863,SorP!C:C,0))))</f>
        <v/>
      </c>
      <c r="U1863" s="194"/>
      <c r="V1863" s="218" t="e">
        <f>IF(C1863="",NA(),IF(OR(C1863="Smelter not listed",C1863="Smelter not yet identified"),MATCH($B1863&amp;$D1863,'Smelter Look-up'!$J:$J,0),MATCH($B1863&amp;$C1863,'Smelter Look-up'!$J:$J,0)))</f>
        <v>#N/A</v>
      </c>
      <c r="X1863" s="219">
        <f t="shared" ca="1" si="265"/>
        <v>0</v>
      </c>
      <c r="AB1863" s="220" t="str">
        <f t="shared" si="266"/>
        <v/>
      </c>
    </row>
    <row r="1864" spans="1:28" s="219" customFormat="1" ht="20.25">
      <c r="A1864" s="174"/>
      <c r="B1864" s="175" t="str">
        <f>IF(LEN(A1864)=0,"",INDEX('Smelter Look-up'!$A:$A,MATCH($A1864,'Smelter Look-up'!$E:$E,0)))</f>
        <v/>
      </c>
      <c r="C1864" s="179" t="str">
        <f>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64"/>
        <v/>
      </c>
      <c r="T1864" s="174" t="str">
        <f ca="1">IF(B1864="","",IF(ISERROR(MATCH($J1864,SorP!$B$1:$B$6279,0)),"",INDIRECT("'SorP'!$A$"&amp;MATCH($S1864&amp;$J1864,SorP!C:C,0))))</f>
        <v/>
      </c>
      <c r="U1864" s="194"/>
      <c r="V1864" s="218" t="e">
        <f>IF(C1864="",NA(),IF(OR(C1864="Smelter not listed",C1864="Smelter not yet identified"),MATCH($B1864&amp;$D1864,'Smelter Look-up'!$J:$J,0),MATCH($B1864&amp;$C1864,'Smelter Look-up'!$J:$J,0)))</f>
        <v>#N/A</v>
      </c>
      <c r="X1864" s="219">
        <f t="shared" ca="1" si="265"/>
        <v>0</v>
      </c>
      <c r="AB1864" s="220" t="str">
        <f t="shared" si="266"/>
        <v/>
      </c>
    </row>
    <row r="1865" spans="1:28" s="219" customFormat="1" ht="20.25">
      <c r="A1865" s="174"/>
      <c r="B1865" s="175" t="str">
        <f>IF(LEN(A1865)=0,"",INDEX('Smelter Look-up'!$A:$A,MATCH($A1865,'Smelter Look-up'!$E:$E,0)))</f>
        <v/>
      </c>
      <c r="C1865" s="179" t="str">
        <f>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64"/>
        <v/>
      </c>
      <c r="T1865" s="174" t="str">
        <f ca="1">IF(B1865="","",IF(ISERROR(MATCH($J1865,SorP!$B$1:$B$6279,0)),"",INDIRECT("'SorP'!$A$"&amp;MATCH($S1865&amp;$J1865,SorP!C:C,0))))</f>
        <v/>
      </c>
      <c r="U1865" s="194"/>
      <c r="V1865" s="218" t="e">
        <f>IF(C1865="",NA(),IF(OR(C1865="Smelter not listed",C1865="Smelter not yet identified"),MATCH($B1865&amp;$D1865,'Smelter Look-up'!$J:$J,0),MATCH($B1865&amp;$C1865,'Smelter Look-up'!$J:$J,0)))</f>
        <v>#N/A</v>
      </c>
      <c r="X1865" s="219">
        <f t="shared" ca="1" si="265"/>
        <v>0</v>
      </c>
      <c r="AB1865" s="220" t="str">
        <f t="shared" si="266"/>
        <v/>
      </c>
    </row>
    <row r="1866" spans="1:28" s="219" customFormat="1" ht="20.25">
      <c r="A1866" s="174"/>
      <c r="B1866" s="175" t="str">
        <f>IF(LEN(A1866)=0,"",INDEX('Smelter Look-up'!$A:$A,MATCH($A1866,'Smelter Look-up'!$E:$E,0)))</f>
        <v/>
      </c>
      <c r="C1866" s="179" t="str">
        <f>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64"/>
        <v/>
      </c>
      <c r="T1866" s="174" t="str">
        <f ca="1">IF(B1866="","",IF(ISERROR(MATCH($J1866,SorP!$B$1:$B$6279,0)),"",INDIRECT("'SorP'!$A$"&amp;MATCH($S1866&amp;$J1866,SorP!C:C,0))))</f>
        <v/>
      </c>
      <c r="U1866" s="194"/>
      <c r="V1866" s="218" t="e">
        <f>IF(C1866="",NA(),IF(OR(C1866="Smelter not listed",C1866="Smelter not yet identified"),MATCH($B1866&amp;$D1866,'Smelter Look-up'!$J:$J,0),MATCH($B1866&amp;$C1866,'Smelter Look-up'!$J:$J,0)))</f>
        <v>#N/A</v>
      </c>
      <c r="X1866" s="219">
        <f t="shared" ca="1" si="265"/>
        <v>0</v>
      </c>
      <c r="AB1866" s="220" t="str">
        <f t="shared" si="266"/>
        <v/>
      </c>
    </row>
    <row r="1867" spans="1:28" s="219" customFormat="1" ht="20.25">
      <c r="A1867" s="174"/>
      <c r="B1867" s="175" t="str">
        <f>IF(LEN(A1867)=0,"",INDEX('Smelter Look-up'!$A:$A,MATCH($A1867,'Smelter Look-up'!$E:$E,0)))</f>
        <v/>
      </c>
      <c r="C1867" s="179" t="str">
        <f>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64"/>
        <v/>
      </c>
      <c r="T1867" s="174" t="str">
        <f ca="1">IF(B1867="","",IF(ISERROR(MATCH($J1867,SorP!$B$1:$B$6279,0)),"",INDIRECT("'SorP'!$A$"&amp;MATCH($S1867&amp;$J1867,SorP!C:C,0))))</f>
        <v/>
      </c>
      <c r="U1867" s="194"/>
      <c r="V1867" s="218" t="e">
        <f>IF(C1867="",NA(),IF(OR(C1867="Smelter not listed",C1867="Smelter not yet identified"),MATCH($B1867&amp;$D1867,'Smelter Look-up'!$J:$J,0),MATCH($B1867&amp;$C1867,'Smelter Look-up'!$J:$J,0)))</f>
        <v>#N/A</v>
      </c>
      <c r="X1867" s="219">
        <f t="shared" ca="1" si="265"/>
        <v>0</v>
      </c>
      <c r="AB1867" s="220" t="str">
        <f t="shared" si="266"/>
        <v/>
      </c>
    </row>
    <row r="1868" spans="1:28" s="219" customFormat="1" ht="20.25">
      <c r="A1868" s="174"/>
      <c r="B1868" s="175" t="str">
        <f>IF(LEN(A1868)=0,"",INDEX('Smelter Look-up'!$A:$A,MATCH($A1868,'Smelter Look-up'!$E:$E,0)))</f>
        <v/>
      </c>
      <c r="C1868" s="179" t="str">
        <f>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64"/>
        <v/>
      </c>
      <c r="T1868" s="174" t="str">
        <f ca="1">IF(B1868="","",IF(ISERROR(MATCH($J1868,SorP!$B$1:$B$6279,0)),"",INDIRECT("'SorP'!$A$"&amp;MATCH($S1868&amp;$J1868,SorP!C:C,0))))</f>
        <v/>
      </c>
      <c r="U1868" s="194"/>
      <c r="V1868" s="218" t="e">
        <f>IF(C1868="",NA(),IF(OR(C1868="Smelter not listed",C1868="Smelter not yet identified"),MATCH($B1868&amp;$D1868,'Smelter Look-up'!$J:$J,0),MATCH($B1868&amp;$C1868,'Smelter Look-up'!$J:$J,0)))</f>
        <v>#N/A</v>
      </c>
      <c r="X1868" s="219">
        <f t="shared" ca="1" si="265"/>
        <v>0</v>
      </c>
      <c r="AB1868" s="220" t="str">
        <f t="shared" si="266"/>
        <v/>
      </c>
    </row>
    <row r="1869" spans="1:28" s="219" customFormat="1" ht="20.25">
      <c r="A1869" s="174"/>
      <c r="B1869" s="175" t="str">
        <f>IF(LEN(A1869)=0,"",INDEX('Smelter Look-up'!$A:$A,MATCH($A1869,'Smelter Look-up'!$E:$E,0)))</f>
        <v/>
      </c>
      <c r="C1869" s="179" t="str">
        <f>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64"/>
        <v/>
      </c>
      <c r="T1869" s="174" t="str">
        <f ca="1">IF(B1869="","",IF(ISERROR(MATCH($J1869,SorP!$B$1:$B$6279,0)),"",INDIRECT("'SorP'!$A$"&amp;MATCH($S1869&amp;$J1869,SorP!C:C,0))))</f>
        <v/>
      </c>
      <c r="U1869" s="194"/>
      <c r="V1869" s="218" t="e">
        <f>IF(C1869="",NA(),IF(OR(C1869="Smelter not listed",C1869="Smelter not yet identified"),MATCH($B1869&amp;$D1869,'Smelter Look-up'!$J:$J,0),MATCH($B1869&amp;$C1869,'Smelter Look-up'!$J:$J,0)))</f>
        <v>#N/A</v>
      </c>
      <c r="X1869" s="219">
        <f t="shared" ca="1" si="265"/>
        <v>0</v>
      </c>
      <c r="AB1869" s="220" t="str">
        <f t="shared" si="266"/>
        <v/>
      </c>
    </row>
    <row r="1870" spans="1:28" s="219" customFormat="1" ht="20.25">
      <c r="A1870" s="174"/>
      <c r="B1870" s="175" t="str">
        <f>IF(LEN(A1870)=0,"",INDEX('Smelter Look-up'!$A:$A,MATCH($A1870,'Smelter Look-up'!$E:$E,0)))</f>
        <v/>
      </c>
      <c r="C1870" s="179" t="str">
        <f>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64"/>
        <v/>
      </c>
      <c r="T1870" s="174" t="str">
        <f ca="1">IF(B1870="","",IF(ISERROR(MATCH($J1870,SorP!$B$1:$B$6279,0)),"",INDIRECT("'SorP'!$A$"&amp;MATCH($S1870&amp;$J1870,SorP!C:C,0))))</f>
        <v/>
      </c>
      <c r="U1870" s="194"/>
      <c r="V1870" s="218" t="e">
        <f>IF(C1870="",NA(),IF(OR(C1870="Smelter not listed",C1870="Smelter not yet identified"),MATCH($B1870&amp;$D1870,'Smelter Look-up'!$J:$J,0),MATCH($B1870&amp;$C1870,'Smelter Look-up'!$J:$J,0)))</f>
        <v>#N/A</v>
      </c>
      <c r="X1870" s="219">
        <f t="shared" ca="1" si="265"/>
        <v>0</v>
      </c>
      <c r="AB1870" s="220" t="str">
        <f t="shared" si="266"/>
        <v/>
      </c>
    </row>
    <row r="1871" spans="1:28" s="219" customFormat="1" ht="20.25">
      <c r="A1871" s="174"/>
      <c r="B1871" s="175" t="str">
        <f>IF(LEN(A1871)=0,"",INDEX('Smelter Look-up'!$A:$A,MATCH($A1871,'Smelter Look-up'!$E:$E,0)))</f>
        <v/>
      </c>
      <c r="C1871" s="179" t="str">
        <f>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64"/>
        <v/>
      </c>
      <c r="T1871" s="174" t="str">
        <f ca="1">IF(B1871="","",IF(ISERROR(MATCH($J1871,SorP!$B$1:$B$6279,0)),"",INDIRECT("'SorP'!$A$"&amp;MATCH($S1871&amp;$J1871,SorP!C:C,0))))</f>
        <v/>
      </c>
      <c r="U1871" s="194"/>
      <c r="V1871" s="218" t="e">
        <f>IF(C1871="",NA(),IF(OR(C1871="Smelter not listed",C1871="Smelter not yet identified"),MATCH($B1871&amp;$D1871,'Smelter Look-up'!$J:$J,0),MATCH($B1871&amp;$C1871,'Smelter Look-up'!$J:$J,0)))</f>
        <v>#N/A</v>
      </c>
      <c r="X1871" s="219">
        <f t="shared" ca="1" si="265"/>
        <v>0</v>
      </c>
      <c r="AB1871" s="220" t="str">
        <f t="shared" si="266"/>
        <v/>
      </c>
    </row>
    <row r="1872" spans="1:28" s="219" customFormat="1" ht="20.25">
      <c r="A1872" s="174"/>
      <c r="B1872" s="175" t="str">
        <f>IF(LEN(A1872)=0,"",INDEX('Smelter Look-up'!$A:$A,MATCH($A1872,'Smelter Look-up'!$E:$E,0)))</f>
        <v/>
      </c>
      <c r="C1872" s="179" t="str">
        <f>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64"/>
        <v/>
      </c>
      <c r="T1872" s="174" t="str">
        <f ca="1">IF(B1872="","",IF(ISERROR(MATCH($J1872,SorP!$B$1:$B$6279,0)),"",INDIRECT("'SorP'!$A$"&amp;MATCH($S1872&amp;$J1872,SorP!C:C,0))))</f>
        <v/>
      </c>
      <c r="U1872" s="194"/>
      <c r="V1872" s="218" t="e">
        <f>IF(C1872="",NA(),IF(OR(C1872="Smelter not listed",C1872="Smelter not yet identified"),MATCH($B1872&amp;$D1872,'Smelter Look-up'!$J:$J,0),MATCH($B1872&amp;$C1872,'Smelter Look-up'!$J:$J,0)))</f>
        <v>#N/A</v>
      </c>
      <c r="X1872" s="219">
        <f t="shared" ca="1" si="265"/>
        <v>0</v>
      </c>
      <c r="AB1872" s="220" t="str">
        <f t="shared" si="266"/>
        <v/>
      </c>
    </row>
    <row r="1873" spans="1:28" s="219" customFormat="1" ht="20.25">
      <c r="A1873" s="174"/>
      <c r="B1873" s="175" t="str">
        <f>IF(LEN(A1873)=0,"",INDEX('Smelter Look-up'!$A:$A,MATCH($A1873,'Smelter Look-up'!$E:$E,0)))</f>
        <v/>
      </c>
      <c r="C1873" s="179" t="str">
        <f>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64"/>
        <v/>
      </c>
      <c r="T1873" s="174" t="str">
        <f ca="1">IF(B1873="","",IF(ISERROR(MATCH($J1873,SorP!$B$1:$B$6279,0)),"",INDIRECT("'SorP'!$A$"&amp;MATCH($S1873&amp;$J1873,SorP!C:C,0))))</f>
        <v/>
      </c>
      <c r="U1873" s="194"/>
      <c r="V1873" s="218" t="e">
        <f>IF(C1873="",NA(),IF(OR(C1873="Smelter not listed",C1873="Smelter not yet identified"),MATCH($B1873&amp;$D1873,'Smelter Look-up'!$J:$J,0),MATCH($B1873&amp;$C1873,'Smelter Look-up'!$J:$J,0)))</f>
        <v>#N/A</v>
      </c>
      <c r="X1873" s="219">
        <f t="shared" ca="1" si="265"/>
        <v>0</v>
      </c>
      <c r="AB1873" s="220" t="str">
        <f t="shared" si="266"/>
        <v/>
      </c>
    </row>
    <row r="1874" spans="1:28" s="219" customFormat="1" ht="20.25">
      <c r="A1874" s="174"/>
      <c r="B1874" s="175" t="str">
        <f>IF(LEN(A1874)=0,"",INDEX('Smelter Look-up'!$A:$A,MATCH($A1874,'Smelter Look-up'!$E:$E,0)))</f>
        <v/>
      </c>
      <c r="C1874" s="179" t="str">
        <f>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264"/>
        <v/>
      </c>
      <c r="T1874" s="174" t="str">
        <f ca="1">IF(B1874="","",IF(ISERROR(MATCH($J1874,SorP!$B$1:$B$6279,0)),"",INDIRECT("'SorP'!$A$"&amp;MATCH($S1874&amp;$J1874,SorP!C:C,0))))</f>
        <v/>
      </c>
      <c r="U1874" s="194"/>
      <c r="V1874" s="218" t="e">
        <f>IF(C1874="",NA(),IF(OR(C1874="Smelter not listed",C1874="Smelter not yet identified"),MATCH($B1874&amp;$D1874,'Smelter Look-up'!$J:$J,0),MATCH($B1874&amp;$C1874,'Smelter Look-up'!$J:$J,0)))</f>
        <v>#N/A</v>
      </c>
      <c r="X1874" s="219">
        <f t="shared" ca="1" si="265"/>
        <v>0</v>
      </c>
      <c r="AB1874" s="220" t="str">
        <f t="shared" si="266"/>
        <v/>
      </c>
    </row>
    <row r="1875" spans="1:28" s="219" customFormat="1" ht="20.25">
      <c r="A1875" s="174"/>
      <c r="B1875" s="175" t="str">
        <f>IF(LEN(A1875)=0,"",INDEX('Smelter Look-up'!$A:$A,MATCH($A1875,'Smelter Look-up'!$E:$E,0)))</f>
        <v/>
      </c>
      <c r="C1875" s="179" t="str">
        <f>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264"/>
        <v/>
      </c>
      <c r="T1875" s="174" t="str">
        <f ca="1">IF(B1875="","",IF(ISERROR(MATCH($J1875,SorP!$B$1:$B$6279,0)),"",INDIRECT("'SorP'!$A$"&amp;MATCH($S1875&amp;$J1875,SorP!C:C,0))))</f>
        <v/>
      </c>
      <c r="U1875" s="194"/>
      <c r="V1875" s="218" t="e">
        <f>IF(C1875="",NA(),IF(OR(C1875="Smelter not listed",C1875="Smelter not yet identified"),MATCH($B1875&amp;$D1875,'Smelter Look-up'!$J:$J,0),MATCH($B1875&amp;$C1875,'Smelter Look-up'!$J:$J,0)))</f>
        <v>#N/A</v>
      </c>
      <c r="X1875" s="219">
        <f t="shared" ca="1" si="265"/>
        <v>0</v>
      </c>
      <c r="AB1875" s="220" t="str">
        <f t="shared" si="266"/>
        <v/>
      </c>
    </row>
    <row r="1876" spans="1:28" s="219" customFormat="1" ht="20.25">
      <c r="A1876" s="174"/>
      <c r="B1876" s="175" t="str">
        <f>IF(LEN(A1876)=0,"",INDEX('Smelter Look-up'!$A:$A,MATCH($A1876,'Smelter Look-up'!$E:$E,0)))</f>
        <v/>
      </c>
      <c r="C1876" s="179" t="str">
        <f>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264"/>
        <v/>
      </c>
      <c r="T1876" s="174" t="str">
        <f ca="1">IF(B1876="","",IF(ISERROR(MATCH($J1876,SorP!$B$1:$B$6279,0)),"",INDIRECT("'SorP'!$A$"&amp;MATCH($S1876&amp;$J1876,SorP!C:C,0))))</f>
        <v/>
      </c>
      <c r="U1876" s="194"/>
      <c r="V1876" s="218" t="e">
        <f>IF(C1876="",NA(),IF(OR(C1876="Smelter not listed",C1876="Smelter not yet identified"),MATCH($B1876&amp;$D1876,'Smelter Look-up'!$J:$J,0),MATCH($B1876&amp;$C1876,'Smelter Look-up'!$J:$J,0)))</f>
        <v>#N/A</v>
      </c>
      <c r="X1876" s="219">
        <f t="shared" ca="1" si="265"/>
        <v>0</v>
      </c>
      <c r="AB1876" s="220" t="str">
        <f t="shared" si="266"/>
        <v/>
      </c>
    </row>
    <row r="1877" spans="1:28" s="219" customFormat="1" ht="20.25">
      <c r="A1877" s="174"/>
      <c r="B1877" s="175" t="str">
        <f>IF(LEN(A1877)=0,"",INDEX('Smelter Look-up'!$A:$A,MATCH($A1877,'Smelter Look-up'!$E:$E,0)))</f>
        <v/>
      </c>
      <c r="C1877" s="179" t="str">
        <f>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264"/>
        <v/>
      </c>
      <c r="T1877" s="174" t="str">
        <f ca="1">IF(B1877="","",IF(ISERROR(MATCH($J1877,SorP!$B$1:$B$6279,0)),"",INDIRECT("'SorP'!$A$"&amp;MATCH($S1877&amp;$J1877,SorP!C:C,0))))</f>
        <v/>
      </c>
      <c r="U1877" s="194"/>
      <c r="V1877" s="218" t="e">
        <f>IF(C1877="",NA(),IF(OR(C1877="Smelter not listed",C1877="Smelter not yet identified"),MATCH($B1877&amp;$D1877,'Smelter Look-up'!$J:$J,0),MATCH($B1877&amp;$C1877,'Smelter Look-up'!$J:$J,0)))</f>
        <v>#N/A</v>
      </c>
      <c r="X1877" s="219">
        <f t="shared" ca="1" si="265"/>
        <v>0</v>
      </c>
      <c r="AB1877" s="220" t="str">
        <f t="shared" si="266"/>
        <v/>
      </c>
    </row>
    <row r="1878" spans="1:28" s="219" customFormat="1" ht="20.25">
      <c r="A1878" s="174"/>
      <c r="B1878" s="175" t="str">
        <f>IF(LEN(A1878)=0,"",INDEX('Smelter Look-up'!$A:$A,MATCH($A1878,'Smelter Look-up'!$E:$E,0)))</f>
        <v/>
      </c>
      <c r="C1878" s="179" t="str">
        <f>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264"/>
        <v/>
      </c>
      <c r="T1878" s="174" t="str">
        <f ca="1">IF(B1878="","",IF(ISERROR(MATCH($J1878,SorP!$B$1:$B$6279,0)),"",INDIRECT("'SorP'!$A$"&amp;MATCH($S1878&amp;$J1878,SorP!C:C,0))))</f>
        <v/>
      </c>
      <c r="U1878" s="194"/>
      <c r="V1878" s="218" t="e">
        <f>IF(C1878="",NA(),IF(OR(C1878="Smelter not listed",C1878="Smelter not yet identified"),MATCH($B1878&amp;$D1878,'Smelter Look-up'!$J:$J,0),MATCH($B1878&amp;$C1878,'Smelter Look-up'!$J:$J,0)))</f>
        <v>#N/A</v>
      </c>
      <c r="X1878" s="219">
        <f t="shared" ca="1" si="265"/>
        <v>0</v>
      </c>
      <c r="AB1878" s="220" t="str">
        <f t="shared" si="266"/>
        <v/>
      </c>
    </row>
    <row r="1879" spans="1:28" s="219" customFormat="1" ht="20.25">
      <c r="A1879" s="174"/>
      <c r="B1879" s="175" t="str">
        <f>IF(LEN(A1879)=0,"",INDEX('Smelter Look-up'!$A:$A,MATCH($A1879,'Smelter Look-up'!$E:$E,0)))</f>
        <v/>
      </c>
      <c r="C1879" s="179" t="str">
        <f>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264"/>
        <v/>
      </c>
      <c r="T1879" s="174" t="str">
        <f ca="1">IF(B1879="","",IF(ISERROR(MATCH($J1879,SorP!$B$1:$B$6279,0)),"",INDIRECT("'SorP'!$A$"&amp;MATCH($S1879&amp;$J1879,SorP!C:C,0))))</f>
        <v/>
      </c>
      <c r="U1879" s="194"/>
      <c r="V1879" s="218" t="e">
        <f>IF(C1879="",NA(),IF(OR(C1879="Smelter not listed",C1879="Smelter not yet identified"),MATCH($B1879&amp;$D1879,'Smelter Look-up'!$J:$J,0),MATCH($B1879&amp;$C1879,'Smelter Look-up'!$J:$J,0)))</f>
        <v>#N/A</v>
      </c>
      <c r="X1879" s="219">
        <f t="shared" ca="1" si="265"/>
        <v>0</v>
      </c>
      <c r="AB1879" s="220" t="str">
        <f t="shared" si="266"/>
        <v/>
      </c>
    </row>
    <row r="1880" spans="1:28" s="219" customFormat="1" ht="20.25">
      <c r="A1880" s="174"/>
      <c r="B1880" s="175" t="str">
        <f>IF(LEN(A1880)=0,"",INDEX('Smelter Look-up'!$A:$A,MATCH($A1880,'Smelter Look-up'!$E:$E,0)))</f>
        <v/>
      </c>
      <c r="C1880" s="179" t="str">
        <f>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264"/>
        <v/>
      </c>
      <c r="T1880" s="174" t="str">
        <f ca="1">IF(B1880="","",IF(ISERROR(MATCH($J1880,SorP!$B$1:$B$6279,0)),"",INDIRECT("'SorP'!$A$"&amp;MATCH($S1880&amp;$J1880,SorP!C:C,0))))</f>
        <v/>
      </c>
      <c r="U1880" s="194"/>
      <c r="V1880" s="218" t="e">
        <f>IF(C1880="",NA(),IF(OR(C1880="Smelter not listed",C1880="Smelter not yet identified"),MATCH($B1880&amp;$D1880,'Smelter Look-up'!$J:$J,0),MATCH($B1880&amp;$C1880,'Smelter Look-up'!$J:$J,0)))</f>
        <v>#N/A</v>
      </c>
      <c r="X1880" s="219">
        <f t="shared" ca="1" si="265"/>
        <v>0</v>
      </c>
      <c r="AB1880" s="220" t="str">
        <f t="shared" si="266"/>
        <v/>
      </c>
    </row>
    <row r="1881" spans="1:28" s="219" customFormat="1" ht="20.25">
      <c r="A1881" s="174"/>
      <c r="B1881" s="175" t="str">
        <f>IF(LEN(A1881)=0,"",INDEX('Smelter Look-up'!$A:$A,MATCH($A1881,'Smelter Look-up'!$E:$E,0)))</f>
        <v/>
      </c>
      <c r="C1881" s="179" t="str">
        <f>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264"/>
        <v/>
      </c>
      <c r="T1881" s="174" t="str">
        <f ca="1">IF(B1881="","",IF(ISERROR(MATCH($J1881,SorP!$B$1:$B$6279,0)),"",INDIRECT("'SorP'!$A$"&amp;MATCH($S1881&amp;$J1881,SorP!C:C,0))))</f>
        <v/>
      </c>
      <c r="U1881" s="194"/>
      <c r="V1881" s="218" t="e">
        <f>IF(C1881="",NA(),IF(OR(C1881="Smelter not listed",C1881="Smelter not yet identified"),MATCH($B1881&amp;$D1881,'Smelter Look-up'!$J:$J,0),MATCH($B1881&amp;$C1881,'Smelter Look-up'!$J:$J,0)))</f>
        <v>#N/A</v>
      </c>
      <c r="X1881" s="219">
        <f t="shared" ca="1" si="265"/>
        <v>0</v>
      </c>
      <c r="AB1881" s="220" t="str">
        <f t="shared" si="266"/>
        <v/>
      </c>
    </row>
    <row r="1882" spans="1:28" s="219" customFormat="1" ht="20.25">
      <c r="A1882" s="174"/>
      <c r="B1882" s="175" t="str">
        <f>IF(LEN(A1882)=0,"",INDEX('Smelter Look-up'!$A:$A,MATCH($A1882,'Smelter Look-up'!$E:$E,0)))</f>
        <v/>
      </c>
      <c r="C1882" s="179" t="str">
        <f>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264"/>
        <v/>
      </c>
      <c r="T1882" s="174" t="str">
        <f ca="1">IF(B1882="","",IF(ISERROR(MATCH($J1882,SorP!$B$1:$B$6279,0)),"",INDIRECT("'SorP'!$A$"&amp;MATCH($S1882&amp;$J1882,SorP!C:C,0))))</f>
        <v/>
      </c>
      <c r="U1882" s="194"/>
      <c r="V1882" s="218" t="e">
        <f>IF(C1882="",NA(),IF(OR(C1882="Smelter not listed",C1882="Smelter not yet identified"),MATCH($B1882&amp;$D1882,'Smelter Look-up'!$J:$J,0),MATCH($B1882&amp;$C1882,'Smelter Look-up'!$J:$J,0)))</f>
        <v>#N/A</v>
      </c>
      <c r="X1882" s="219">
        <f t="shared" ca="1" si="265"/>
        <v>0</v>
      </c>
      <c r="AB1882" s="220" t="str">
        <f t="shared" si="266"/>
        <v/>
      </c>
    </row>
    <row r="1883" spans="1:28" s="219" customFormat="1" ht="20.25">
      <c r="A1883" s="174"/>
      <c r="B1883" s="175" t="str">
        <f>IF(LEN(A1883)=0,"",INDEX('Smelter Look-up'!$A:$A,MATCH($A1883,'Smelter Look-up'!$E:$E,0)))</f>
        <v/>
      </c>
      <c r="C1883" s="179" t="str">
        <f>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264"/>
        <v/>
      </c>
      <c r="T1883" s="174" t="str">
        <f ca="1">IF(B1883="","",IF(ISERROR(MATCH($J1883,SorP!$B$1:$B$6279,0)),"",INDIRECT("'SorP'!$A$"&amp;MATCH($S1883&amp;$J1883,SorP!C:C,0))))</f>
        <v/>
      </c>
      <c r="U1883" s="194"/>
      <c r="V1883" s="218" t="e">
        <f>IF(C1883="",NA(),IF(OR(C1883="Smelter not listed",C1883="Smelter not yet identified"),MATCH($B1883&amp;$D1883,'Smelter Look-up'!$J:$J,0),MATCH($B1883&amp;$C1883,'Smelter Look-up'!$J:$J,0)))</f>
        <v>#N/A</v>
      </c>
      <c r="X1883" s="219">
        <f t="shared" ca="1" si="265"/>
        <v>0</v>
      </c>
      <c r="AB1883" s="220" t="str">
        <f t="shared" si="266"/>
        <v/>
      </c>
    </row>
    <row r="1884" spans="1:28" s="219" customFormat="1" ht="20.25">
      <c r="A1884" s="174"/>
      <c r="B1884" s="175" t="str">
        <f>IF(LEN(A1884)=0,"",INDEX('Smelter Look-up'!$A:$A,MATCH($A1884,'Smelter Look-up'!$E:$E,0)))</f>
        <v/>
      </c>
      <c r="C1884" s="179" t="str">
        <f>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ref="S1884:S1914" ca="1" si="267">IF(B1884="","",IF(ISERROR(MATCH($E1884,CL,0)),"Unknown",INDIRECT("'C'!$A$"&amp;MATCH($E1884,CL,0)+1)))</f>
        <v/>
      </c>
      <c r="T1884" s="174" t="str">
        <f ca="1">IF(B1884="","",IF(ISERROR(MATCH($J1884,SorP!$B$1:$B$6279,0)),"",INDIRECT("'SorP'!$A$"&amp;MATCH($S1884&amp;$J1884,SorP!C:C,0))))</f>
        <v/>
      </c>
      <c r="U1884" s="194"/>
      <c r="V1884" s="218" t="e">
        <f>IF(C1884="",NA(),IF(OR(C1884="Smelter not listed",C1884="Smelter not yet identified"),MATCH($B1884&amp;$D1884,'Smelter Look-up'!$J:$J,0),MATCH($B1884&amp;$C1884,'Smelter Look-up'!$J:$J,0)))</f>
        <v>#N/A</v>
      </c>
      <c r="X1884" s="219">
        <f t="shared" ref="X1884:X1914" ca="1" si="268">IF(AND(C1884="Smelter not listed",OR(LEN(D1884)=0,LEN(E1884)=0)),1,0)</f>
        <v>0</v>
      </c>
      <c r="AB1884" s="220" t="str">
        <f t="shared" ref="AB1884:AB1914" si="269">B1884&amp;C1884</f>
        <v/>
      </c>
    </row>
    <row r="1885" spans="1:28" s="219" customFormat="1" ht="20.25">
      <c r="A1885" s="174"/>
      <c r="B1885" s="175" t="str">
        <f>IF(LEN(A1885)=0,"",INDEX('Smelter Look-up'!$A:$A,MATCH($A1885,'Smelter Look-up'!$E:$E,0)))</f>
        <v/>
      </c>
      <c r="C1885" s="179" t="str">
        <f>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267"/>
        <v/>
      </c>
      <c r="T1885" s="174" t="str">
        <f ca="1">IF(B1885="","",IF(ISERROR(MATCH($J1885,SorP!$B$1:$B$6279,0)),"",INDIRECT("'SorP'!$A$"&amp;MATCH($S1885&amp;$J1885,SorP!C:C,0))))</f>
        <v/>
      </c>
      <c r="U1885" s="194"/>
      <c r="V1885" s="218" t="e">
        <f>IF(C1885="",NA(),IF(OR(C1885="Smelter not listed",C1885="Smelter not yet identified"),MATCH($B1885&amp;$D1885,'Smelter Look-up'!$J:$J,0),MATCH($B1885&amp;$C1885,'Smelter Look-up'!$J:$J,0)))</f>
        <v>#N/A</v>
      </c>
      <c r="X1885" s="219">
        <f t="shared" ca="1" si="268"/>
        <v>0</v>
      </c>
      <c r="AB1885" s="220" t="str">
        <f t="shared" si="269"/>
        <v/>
      </c>
    </row>
    <row r="1886" spans="1:28" s="219" customFormat="1" ht="20.25">
      <c r="A1886" s="174"/>
      <c r="B1886" s="175" t="str">
        <f>IF(LEN(A1886)=0,"",INDEX('Smelter Look-up'!$A:$A,MATCH($A1886,'Smelter Look-up'!$E:$E,0)))</f>
        <v/>
      </c>
      <c r="C1886" s="179" t="str">
        <f>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267"/>
        <v/>
      </c>
      <c r="T1886" s="174" t="str">
        <f ca="1">IF(B1886="","",IF(ISERROR(MATCH($J1886,SorP!$B$1:$B$6279,0)),"",INDIRECT("'SorP'!$A$"&amp;MATCH($S1886&amp;$J1886,SorP!C:C,0))))</f>
        <v/>
      </c>
      <c r="U1886" s="194"/>
      <c r="V1886" s="218" t="e">
        <f>IF(C1886="",NA(),IF(OR(C1886="Smelter not listed",C1886="Smelter not yet identified"),MATCH($B1886&amp;$D1886,'Smelter Look-up'!$J:$J,0),MATCH($B1886&amp;$C1886,'Smelter Look-up'!$J:$J,0)))</f>
        <v>#N/A</v>
      </c>
      <c r="X1886" s="219">
        <f t="shared" ca="1" si="268"/>
        <v>0</v>
      </c>
      <c r="AB1886" s="220" t="str">
        <f t="shared" si="269"/>
        <v/>
      </c>
    </row>
    <row r="1887" spans="1:28" s="219" customFormat="1" ht="20.25">
      <c r="A1887" s="174"/>
      <c r="B1887" s="175" t="str">
        <f>IF(LEN(A1887)=0,"",INDEX('Smelter Look-up'!$A:$A,MATCH($A1887,'Smelter Look-up'!$E:$E,0)))</f>
        <v/>
      </c>
      <c r="C1887" s="179" t="str">
        <f>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267"/>
        <v/>
      </c>
      <c r="T1887" s="174" t="str">
        <f ca="1">IF(B1887="","",IF(ISERROR(MATCH($J1887,SorP!$B$1:$B$6279,0)),"",INDIRECT("'SorP'!$A$"&amp;MATCH($S1887&amp;$J1887,SorP!C:C,0))))</f>
        <v/>
      </c>
      <c r="U1887" s="194"/>
      <c r="V1887" s="218" t="e">
        <f>IF(C1887="",NA(),IF(OR(C1887="Smelter not listed",C1887="Smelter not yet identified"),MATCH($B1887&amp;$D1887,'Smelter Look-up'!$J:$J,0),MATCH($B1887&amp;$C1887,'Smelter Look-up'!$J:$J,0)))</f>
        <v>#N/A</v>
      </c>
      <c r="X1887" s="219">
        <f t="shared" ca="1" si="268"/>
        <v>0</v>
      </c>
      <c r="AB1887" s="220" t="str">
        <f t="shared" si="269"/>
        <v/>
      </c>
    </row>
    <row r="1888" spans="1:28" s="219" customFormat="1" ht="20.25">
      <c r="A1888" s="174"/>
      <c r="B1888" s="175" t="str">
        <f>IF(LEN(A1888)=0,"",INDEX('Smelter Look-up'!$A:$A,MATCH($A1888,'Smelter Look-up'!$E:$E,0)))</f>
        <v/>
      </c>
      <c r="C1888" s="179" t="str">
        <f>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267"/>
        <v/>
      </c>
      <c r="T1888" s="174" t="str">
        <f ca="1">IF(B1888="","",IF(ISERROR(MATCH($J1888,SorP!$B$1:$B$6279,0)),"",INDIRECT("'SorP'!$A$"&amp;MATCH($S1888&amp;$J1888,SorP!C:C,0))))</f>
        <v/>
      </c>
      <c r="U1888" s="194"/>
      <c r="V1888" s="218" t="e">
        <f>IF(C1888="",NA(),IF(OR(C1888="Smelter not listed",C1888="Smelter not yet identified"),MATCH($B1888&amp;$D1888,'Smelter Look-up'!$J:$J,0),MATCH($B1888&amp;$C1888,'Smelter Look-up'!$J:$J,0)))</f>
        <v>#N/A</v>
      </c>
      <c r="X1888" s="219">
        <f t="shared" ca="1" si="268"/>
        <v>0</v>
      </c>
      <c r="AB1888" s="220" t="str">
        <f t="shared" si="269"/>
        <v/>
      </c>
    </row>
    <row r="1889" spans="1:28" s="219" customFormat="1" ht="20.25">
      <c r="A1889" s="174"/>
      <c r="B1889" s="175" t="str">
        <f>IF(LEN(A1889)=0,"",INDEX('Smelter Look-up'!$A:$A,MATCH($A1889,'Smelter Look-up'!$E:$E,0)))</f>
        <v/>
      </c>
      <c r="C1889" s="179" t="str">
        <f>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267"/>
        <v/>
      </c>
      <c r="T1889" s="174" t="str">
        <f ca="1">IF(B1889="","",IF(ISERROR(MATCH($J1889,SorP!$B$1:$B$6279,0)),"",INDIRECT("'SorP'!$A$"&amp;MATCH($S1889&amp;$J1889,SorP!C:C,0))))</f>
        <v/>
      </c>
      <c r="U1889" s="194"/>
      <c r="V1889" s="218" t="e">
        <f>IF(C1889="",NA(),IF(OR(C1889="Smelter not listed",C1889="Smelter not yet identified"),MATCH($B1889&amp;$D1889,'Smelter Look-up'!$J:$J,0),MATCH($B1889&amp;$C1889,'Smelter Look-up'!$J:$J,0)))</f>
        <v>#N/A</v>
      </c>
      <c r="X1889" s="219">
        <f t="shared" ca="1" si="268"/>
        <v>0</v>
      </c>
      <c r="AB1889" s="220" t="str">
        <f t="shared" si="269"/>
        <v/>
      </c>
    </row>
    <row r="1890" spans="1:28" s="219" customFormat="1" ht="20.25">
      <c r="A1890" s="174"/>
      <c r="B1890" s="175" t="str">
        <f>IF(LEN(A1890)=0,"",INDEX('Smelter Look-up'!$A:$A,MATCH($A1890,'Smelter Look-up'!$E:$E,0)))</f>
        <v/>
      </c>
      <c r="C1890" s="179" t="str">
        <f>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267"/>
        <v/>
      </c>
      <c r="T1890" s="174" t="str">
        <f ca="1">IF(B1890="","",IF(ISERROR(MATCH($J1890,SorP!$B$1:$B$6279,0)),"",INDIRECT("'SorP'!$A$"&amp;MATCH($S1890&amp;$J1890,SorP!C:C,0))))</f>
        <v/>
      </c>
      <c r="U1890" s="194"/>
      <c r="V1890" s="218" t="e">
        <f>IF(C1890="",NA(),IF(OR(C1890="Smelter not listed",C1890="Smelter not yet identified"),MATCH($B1890&amp;$D1890,'Smelter Look-up'!$J:$J,0),MATCH($B1890&amp;$C1890,'Smelter Look-up'!$J:$J,0)))</f>
        <v>#N/A</v>
      </c>
      <c r="X1890" s="219">
        <f t="shared" ca="1" si="268"/>
        <v>0</v>
      </c>
      <c r="AB1890" s="220" t="str">
        <f t="shared" si="269"/>
        <v/>
      </c>
    </row>
    <row r="1891" spans="1:28" s="219" customFormat="1" ht="20.25">
      <c r="A1891" s="174"/>
      <c r="B1891" s="175" t="str">
        <f>IF(LEN(A1891)=0,"",INDEX('Smelter Look-up'!$A:$A,MATCH($A1891,'Smelter Look-up'!$E:$E,0)))</f>
        <v/>
      </c>
      <c r="C1891" s="179" t="str">
        <f>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267"/>
        <v/>
      </c>
      <c r="T1891" s="174" t="str">
        <f ca="1">IF(B1891="","",IF(ISERROR(MATCH($J1891,SorP!$B$1:$B$6279,0)),"",INDIRECT("'SorP'!$A$"&amp;MATCH($S1891&amp;$J1891,SorP!C:C,0))))</f>
        <v/>
      </c>
      <c r="U1891" s="194"/>
      <c r="V1891" s="218" t="e">
        <f>IF(C1891="",NA(),IF(OR(C1891="Smelter not listed",C1891="Smelter not yet identified"),MATCH($B1891&amp;$D1891,'Smelter Look-up'!$J:$J,0),MATCH($B1891&amp;$C1891,'Smelter Look-up'!$J:$J,0)))</f>
        <v>#N/A</v>
      </c>
      <c r="X1891" s="219">
        <f t="shared" ca="1" si="268"/>
        <v>0</v>
      </c>
      <c r="AB1891" s="220" t="str">
        <f t="shared" si="269"/>
        <v/>
      </c>
    </row>
    <row r="1892" spans="1:28" s="219" customFormat="1" ht="20.25">
      <c r="A1892" s="174"/>
      <c r="B1892" s="175" t="str">
        <f>IF(LEN(A1892)=0,"",INDEX('Smelter Look-up'!$A:$A,MATCH($A1892,'Smelter Look-up'!$E:$E,0)))</f>
        <v/>
      </c>
      <c r="C1892" s="179" t="str">
        <f>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267"/>
        <v/>
      </c>
      <c r="T1892" s="174" t="str">
        <f ca="1">IF(B1892="","",IF(ISERROR(MATCH($J1892,SorP!$B$1:$B$6279,0)),"",INDIRECT("'SorP'!$A$"&amp;MATCH($S1892&amp;$J1892,SorP!C:C,0))))</f>
        <v/>
      </c>
      <c r="U1892" s="194"/>
      <c r="V1892" s="218" t="e">
        <f>IF(C1892="",NA(),IF(OR(C1892="Smelter not listed",C1892="Smelter not yet identified"),MATCH($B1892&amp;$D1892,'Smelter Look-up'!$J:$J,0),MATCH($B1892&amp;$C1892,'Smelter Look-up'!$J:$J,0)))</f>
        <v>#N/A</v>
      </c>
      <c r="X1892" s="219">
        <f t="shared" ca="1" si="268"/>
        <v>0</v>
      </c>
      <c r="AB1892" s="220" t="str">
        <f t="shared" si="269"/>
        <v/>
      </c>
    </row>
    <row r="1893" spans="1:28" s="219" customFormat="1" ht="20.25">
      <c r="A1893" s="174"/>
      <c r="B1893" s="175" t="str">
        <f>IF(LEN(A1893)=0,"",INDEX('Smelter Look-up'!$A:$A,MATCH($A1893,'Smelter Look-up'!$E:$E,0)))</f>
        <v/>
      </c>
      <c r="C1893" s="179" t="str">
        <f>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267"/>
        <v/>
      </c>
      <c r="T1893" s="174" t="str">
        <f ca="1">IF(B1893="","",IF(ISERROR(MATCH($J1893,SorP!$B$1:$B$6279,0)),"",INDIRECT("'SorP'!$A$"&amp;MATCH($S1893&amp;$J1893,SorP!C:C,0))))</f>
        <v/>
      </c>
      <c r="U1893" s="194"/>
      <c r="V1893" s="218" t="e">
        <f>IF(C1893="",NA(),IF(OR(C1893="Smelter not listed",C1893="Smelter not yet identified"),MATCH($B1893&amp;$D1893,'Smelter Look-up'!$J:$J,0),MATCH($B1893&amp;$C1893,'Smelter Look-up'!$J:$J,0)))</f>
        <v>#N/A</v>
      </c>
      <c r="X1893" s="219">
        <f t="shared" ca="1" si="268"/>
        <v>0</v>
      </c>
      <c r="AB1893" s="220" t="str">
        <f t="shared" si="269"/>
        <v/>
      </c>
    </row>
    <row r="1894" spans="1:28" s="219" customFormat="1" ht="20.25">
      <c r="A1894" s="174"/>
      <c r="B1894" s="175" t="str">
        <f>IF(LEN(A1894)=0,"",INDEX('Smelter Look-up'!$A:$A,MATCH($A1894,'Smelter Look-up'!$E:$E,0)))</f>
        <v/>
      </c>
      <c r="C1894" s="179" t="str">
        <f>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267"/>
        <v/>
      </c>
      <c r="T1894" s="174" t="str">
        <f ca="1">IF(B1894="","",IF(ISERROR(MATCH($J1894,SorP!$B$1:$B$6279,0)),"",INDIRECT("'SorP'!$A$"&amp;MATCH($S1894&amp;$J1894,SorP!C:C,0))))</f>
        <v/>
      </c>
      <c r="U1894" s="194"/>
      <c r="V1894" s="218" t="e">
        <f>IF(C1894="",NA(),IF(OR(C1894="Smelter not listed",C1894="Smelter not yet identified"),MATCH($B1894&amp;$D1894,'Smelter Look-up'!$J:$J,0),MATCH($B1894&amp;$C1894,'Smelter Look-up'!$J:$J,0)))</f>
        <v>#N/A</v>
      </c>
      <c r="X1894" s="219">
        <f t="shared" ca="1" si="268"/>
        <v>0</v>
      </c>
      <c r="AB1894" s="220" t="str">
        <f t="shared" si="269"/>
        <v/>
      </c>
    </row>
    <row r="1895" spans="1:28" s="219" customFormat="1" ht="20.25">
      <c r="A1895" s="174"/>
      <c r="B1895" s="175" t="str">
        <f>IF(LEN(A1895)=0,"",INDEX('Smelter Look-up'!$A:$A,MATCH($A1895,'Smelter Look-up'!$E:$E,0)))</f>
        <v/>
      </c>
      <c r="C1895" s="179" t="str">
        <f>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267"/>
        <v/>
      </c>
      <c r="T1895" s="174" t="str">
        <f ca="1">IF(B1895="","",IF(ISERROR(MATCH($J1895,SorP!$B$1:$B$6279,0)),"",INDIRECT("'SorP'!$A$"&amp;MATCH($S1895&amp;$J1895,SorP!C:C,0))))</f>
        <v/>
      </c>
      <c r="U1895" s="194"/>
      <c r="V1895" s="218" t="e">
        <f>IF(C1895="",NA(),IF(OR(C1895="Smelter not listed",C1895="Smelter not yet identified"),MATCH($B1895&amp;$D1895,'Smelter Look-up'!$J:$J,0),MATCH($B1895&amp;$C1895,'Smelter Look-up'!$J:$J,0)))</f>
        <v>#N/A</v>
      </c>
      <c r="X1895" s="219">
        <f t="shared" ca="1" si="268"/>
        <v>0</v>
      </c>
      <c r="AB1895" s="220" t="str">
        <f t="shared" si="269"/>
        <v/>
      </c>
    </row>
    <row r="1896" spans="1:28" s="219" customFormat="1" ht="20.25">
      <c r="A1896" s="174"/>
      <c r="B1896" s="175" t="str">
        <f>IF(LEN(A1896)=0,"",INDEX('Smelter Look-up'!$A:$A,MATCH($A1896,'Smelter Look-up'!$E:$E,0)))</f>
        <v/>
      </c>
      <c r="C1896" s="179" t="str">
        <f>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267"/>
        <v/>
      </c>
      <c r="T1896" s="174" t="str">
        <f ca="1">IF(B1896="","",IF(ISERROR(MATCH($J1896,SorP!$B$1:$B$6279,0)),"",INDIRECT("'SorP'!$A$"&amp;MATCH($S1896&amp;$J1896,SorP!C:C,0))))</f>
        <v/>
      </c>
      <c r="U1896" s="194"/>
      <c r="V1896" s="218" t="e">
        <f>IF(C1896="",NA(),IF(OR(C1896="Smelter not listed",C1896="Smelter not yet identified"),MATCH($B1896&amp;$D1896,'Smelter Look-up'!$J:$J,0),MATCH($B1896&amp;$C1896,'Smelter Look-up'!$J:$J,0)))</f>
        <v>#N/A</v>
      </c>
      <c r="X1896" s="219">
        <f t="shared" ca="1" si="268"/>
        <v>0</v>
      </c>
      <c r="AB1896" s="220" t="str">
        <f t="shared" si="269"/>
        <v/>
      </c>
    </row>
    <row r="1897" spans="1:28" s="219" customFormat="1" ht="20.25">
      <c r="A1897" s="174"/>
      <c r="B1897" s="175" t="str">
        <f>IF(LEN(A1897)=0,"",INDEX('Smelter Look-up'!$A:$A,MATCH($A1897,'Smelter Look-up'!$E:$E,0)))</f>
        <v/>
      </c>
      <c r="C1897" s="179" t="str">
        <f>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267"/>
        <v/>
      </c>
      <c r="T1897" s="174" t="str">
        <f ca="1">IF(B1897="","",IF(ISERROR(MATCH($J1897,SorP!$B$1:$B$6279,0)),"",INDIRECT("'SorP'!$A$"&amp;MATCH($S1897&amp;$J1897,SorP!C:C,0))))</f>
        <v/>
      </c>
      <c r="U1897" s="194"/>
      <c r="V1897" s="218" t="e">
        <f>IF(C1897="",NA(),IF(OR(C1897="Smelter not listed",C1897="Smelter not yet identified"),MATCH($B1897&amp;$D1897,'Smelter Look-up'!$J:$J,0),MATCH($B1897&amp;$C1897,'Smelter Look-up'!$J:$J,0)))</f>
        <v>#N/A</v>
      </c>
      <c r="X1897" s="219">
        <f t="shared" ca="1" si="268"/>
        <v>0</v>
      </c>
      <c r="AB1897" s="220" t="str">
        <f t="shared" si="269"/>
        <v/>
      </c>
    </row>
    <row r="1898" spans="1:28" s="219" customFormat="1" ht="20.25">
      <c r="A1898" s="174"/>
      <c r="B1898" s="175" t="str">
        <f>IF(LEN(A1898)=0,"",INDEX('Smelter Look-up'!$A:$A,MATCH($A1898,'Smelter Look-up'!$E:$E,0)))</f>
        <v/>
      </c>
      <c r="C1898" s="179" t="str">
        <f>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267"/>
        <v/>
      </c>
      <c r="T1898" s="174" t="str">
        <f ca="1">IF(B1898="","",IF(ISERROR(MATCH($J1898,SorP!$B$1:$B$6279,0)),"",INDIRECT("'SorP'!$A$"&amp;MATCH($S1898&amp;$J1898,SorP!C:C,0))))</f>
        <v/>
      </c>
      <c r="U1898" s="194"/>
      <c r="V1898" s="218" t="e">
        <f>IF(C1898="",NA(),IF(OR(C1898="Smelter not listed",C1898="Smelter not yet identified"),MATCH($B1898&amp;$D1898,'Smelter Look-up'!$J:$J,0),MATCH($B1898&amp;$C1898,'Smelter Look-up'!$J:$J,0)))</f>
        <v>#N/A</v>
      </c>
      <c r="X1898" s="219">
        <f t="shared" ca="1" si="268"/>
        <v>0</v>
      </c>
      <c r="AB1898" s="220" t="str">
        <f t="shared" si="269"/>
        <v/>
      </c>
    </row>
    <row r="1899" spans="1:28" s="219" customFormat="1" ht="20.25">
      <c r="A1899" s="174"/>
      <c r="B1899" s="175" t="str">
        <f>IF(LEN(A1899)=0,"",INDEX('Smelter Look-up'!$A:$A,MATCH($A1899,'Smelter Look-up'!$E:$E,0)))</f>
        <v/>
      </c>
      <c r="C1899" s="179" t="str">
        <f>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267"/>
        <v/>
      </c>
      <c r="T1899" s="174" t="str">
        <f ca="1">IF(B1899="","",IF(ISERROR(MATCH($J1899,SorP!$B$1:$B$6279,0)),"",INDIRECT("'SorP'!$A$"&amp;MATCH($S1899&amp;$J1899,SorP!C:C,0))))</f>
        <v/>
      </c>
      <c r="U1899" s="194"/>
      <c r="V1899" s="218" t="e">
        <f>IF(C1899="",NA(),IF(OR(C1899="Smelter not listed",C1899="Smelter not yet identified"),MATCH($B1899&amp;$D1899,'Smelter Look-up'!$J:$J,0),MATCH($B1899&amp;$C1899,'Smelter Look-up'!$J:$J,0)))</f>
        <v>#N/A</v>
      </c>
      <c r="X1899" s="219">
        <f t="shared" ca="1" si="268"/>
        <v>0</v>
      </c>
      <c r="AB1899" s="220" t="str">
        <f t="shared" si="269"/>
        <v/>
      </c>
    </row>
    <row r="1900" spans="1:28" s="219" customFormat="1" ht="20.25">
      <c r="A1900" s="174"/>
      <c r="B1900" s="175" t="str">
        <f>IF(LEN(A1900)=0,"",INDEX('Smelter Look-up'!$A:$A,MATCH($A1900,'Smelter Look-up'!$E:$E,0)))</f>
        <v/>
      </c>
      <c r="C1900" s="179" t="str">
        <f>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267"/>
        <v/>
      </c>
      <c r="T1900" s="174" t="str">
        <f ca="1">IF(B1900="","",IF(ISERROR(MATCH($J1900,SorP!$B$1:$B$6279,0)),"",INDIRECT("'SorP'!$A$"&amp;MATCH($S1900&amp;$J1900,SorP!C:C,0))))</f>
        <v/>
      </c>
      <c r="U1900" s="194"/>
      <c r="V1900" s="218" t="e">
        <f>IF(C1900="",NA(),IF(OR(C1900="Smelter not listed",C1900="Smelter not yet identified"),MATCH($B1900&amp;$D1900,'Smelter Look-up'!$J:$J,0),MATCH($B1900&amp;$C1900,'Smelter Look-up'!$J:$J,0)))</f>
        <v>#N/A</v>
      </c>
      <c r="X1900" s="219">
        <f t="shared" ca="1" si="268"/>
        <v>0</v>
      </c>
      <c r="AB1900" s="220" t="str">
        <f t="shared" si="269"/>
        <v/>
      </c>
    </row>
    <row r="1901" spans="1:28" s="219" customFormat="1" ht="20.25">
      <c r="A1901" s="174"/>
      <c r="B1901" s="175" t="str">
        <f>IF(LEN(A1901)=0,"",INDEX('Smelter Look-up'!$A:$A,MATCH($A1901,'Smelter Look-up'!$E:$E,0)))</f>
        <v/>
      </c>
      <c r="C1901" s="179" t="str">
        <f>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267"/>
        <v/>
      </c>
      <c r="T1901" s="174" t="str">
        <f ca="1">IF(B1901="","",IF(ISERROR(MATCH($J1901,SorP!$B$1:$B$6279,0)),"",INDIRECT("'SorP'!$A$"&amp;MATCH($S1901&amp;$J1901,SorP!C:C,0))))</f>
        <v/>
      </c>
      <c r="U1901" s="194"/>
      <c r="V1901" s="218" t="e">
        <f>IF(C1901="",NA(),IF(OR(C1901="Smelter not listed",C1901="Smelter not yet identified"),MATCH($B1901&amp;$D1901,'Smelter Look-up'!$J:$J,0),MATCH($B1901&amp;$C1901,'Smelter Look-up'!$J:$J,0)))</f>
        <v>#N/A</v>
      </c>
      <c r="X1901" s="219">
        <f t="shared" ca="1" si="268"/>
        <v>0</v>
      </c>
      <c r="AB1901" s="220" t="str">
        <f t="shared" si="269"/>
        <v/>
      </c>
    </row>
    <row r="1902" spans="1:28" s="219" customFormat="1" ht="20.25">
      <c r="A1902" s="174"/>
      <c r="B1902" s="175" t="str">
        <f>IF(LEN(A1902)=0,"",INDEX('Smelter Look-up'!$A:$A,MATCH($A1902,'Smelter Look-up'!$E:$E,0)))</f>
        <v/>
      </c>
      <c r="C1902" s="179" t="str">
        <f>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267"/>
        <v/>
      </c>
      <c r="T1902" s="174" t="str">
        <f ca="1">IF(B1902="","",IF(ISERROR(MATCH($J1902,SorP!$B$1:$B$6279,0)),"",INDIRECT("'SorP'!$A$"&amp;MATCH($S1902&amp;$J1902,SorP!C:C,0))))</f>
        <v/>
      </c>
      <c r="U1902" s="194"/>
      <c r="V1902" s="218" t="e">
        <f>IF(C1902="",NA(),IF(OR(C1902="Smelter not listed",C1902="Smelter not yet identified"),MATCH($B1902&amp;$D1902,'Smelter Look-up'!$J:$J,0),MATCH($B1902&amp;$C1902,'Smelter Look-up'!$J:$J,0)))</f>
        <v>#N/A</v>
      </c>
      <c r="X1902" s="219">
        <f t="shared" ca="1" si="268"/>
        <v>0</v>
      </c>
      <c r="AB1902" s="220" t="str">
        <f t="shared" si="269"/>
        <v/>
      </c>
    </row>
    <row r="1903" spans="1:28" s="219" customFormat="1" ht="20.25">
      <c r="A1903" s="174"/>
      <c r="B1903" s="175" t="str">
        <f>IF(LEN(A1903)=0,"",INDEX('Smelter Look-up'!$A:$A,MATCH($A1903,'Smelter Look-up'!$E:$E,0)))</f>
        <v/>
      </c>
      <c r="C1903" s="179" t="str">
        <f>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267"/>
        <v/>
      </c>
      <c r="T1903" s="174" t="str">
        <f ca="1">IF(B1903="","",IF(ISERROR(MATCH($J1903,SorP!$B$1:$B$6279,0)),"",INDIRECT("'SorP'!$A$"&amp;MATCH($S1903&amp;$J1903,SorP!C:C,0))))</f>
        <v/>
      </c>
      <c r="U1903" s="194"/>
      <c r="V1903" s="218" t="e">
        <f>IF(C1903="",NA(),IF(OR(C1903="Smelter not listed",C1903="Smelter not yet identified"),MATCH($B1903&amp;$D1903,'Smelter Look-up'!$J:$J,0),MATCH($B1903&amp;$C1903,'Smelter Look-up'!$J:$J,0)))</f>
        <v>#N/A</v>
      </c>
      <c r="X1903" s="219">
        <f t="shared" ca="1" si="268"/>
        <v>0</v>
      </c>
      <c r="AB1903" s="220" t="str">
        <f t="shared" si="269"/>
        <v/>
      </c>
    </row>
    <row r="1904" spans="1:28" s="219" customFormat="1" ht="20.25">
      <c r="A1904" s="174"/>
      <c r="B1904" s="175" t="str">
        <f>IF(LEN(A1904)=0,"",INDEX('Smelter Look-up'!$A:$A,MATCH($A1904,'Smelter Look-up'!$E:$E,0)))</f>
        <v/>
      </c>
      <c r="C1904" s="179" t="str">
        <f>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267"/>
        <v/>
      </c>
      <c r="T1904" s="174" t="str">
        <f ca="1">IF(B1904="","",IF(ISERROR(MATCH($J1904,SorP!$B$1:$B$6279,0)),"",INDIRECT("'SorP'!$A$"&amp;MATCH($S1904&amp;$J1904,SorP!C:C,0))))</f>
        <v/>
      </c>
      <c r="U1904" s="194"/>
      <c r="V1904" s="218" t="e">
        <f>IF(C1904="",NA(),IF(OR(C1904="Smelter not listed",C1904="Smelter not yet identified"),MATCH($B1904&amp;$D1904,'Smelter Look-up'!$J:$J,0),MATCH($B1904&amp;$C1904,'Smelter Look-up'!$J:$J,0)))</f>
        <v>#N/A</v>
      </c>
      <c r="X1904" s="219">
        <f t="shared" ca="1" si="268"/>
        <v>0</v>
      </c>
      <c r="AB1904" s="220" t="str">
        <f t="shared" si="269"/>
        <v/>
      </c>
    </row>
    <row r="1905" spans="1:28" s="219" customFormat="1" ht="20.25">
      <c r="A1905" s="174"/>
      <c r="B1905" s="175" t="str">
        <f>IF(LEN(A1905)=0,"",INDEX('Smelter Look-up'!$A:$A,MATCH($A1905,'Smelter Look-up'!$E:$E,0)))</f>
        <v/>
      </c>
      <c r="C1905" s="179" t="str">
        <f>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267"/>
        <v/>
      </c>
      <c r="T1905" s="174" t="str">
        <f ca="1">IF(B1905="","",IF(ISERROR(MATCH($J1905,SorP!$B$1:$B$6279,0)),"",INDIRECT("'SorP'!$A$"&amp;MATCH($S1905&amp;$J1905,SorP!C:C,0))))</f>
        <v/>
      </c>
      <c r="U1905" s="194"/>
      <c r="V1905" s="218" t="e">
        <f>IF(C1905="",NA(),IF(OR(C1905="Smelter not listed",C1905="Smelter not yet identified"),MATCH($B1905&amp;$D1905,'Smelter Look-up'!$J:$J,0),MATCH($B1905&amp;$C1905,'Smelter Look-up'!$J:$J,0)))</f>
        <v>#N/A</v>
      </c>
      <c r="X1905" s="219">
        <f t="shared" ca="1" si="268"/>
        <v>0</v>
      </c>
      <c r="AB1905" s="220" t="str">
        <f t="shared" si="269"/>
        <v/>
      </c>
    </row>
    <row r="1906" spans="1:28" s="219" customFormat="1" ht="20.25">
      <c r="A1906" s="174"/>
      <c r="B1906" s="175" t="str">
        <f>IF(LEN(A1906)=0,"",INDEX('Smelter Look-up'!$A:$A,MATCH($A1906,'Smelter Look-up'!$E:$E,0)))</f>
        <v/>
      </c>
      <c r="C1906" s="179" t="str">
        <f>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267"/>
        <v/>
      </c>
      <c r="T1906" s="174" t="str">
        <f ca="1">IF(B1906="","",IF(ISERROR(MATCH($J1906,SorP!$B$1:$B$6279,0)),"",INDIRECT("'SorP'!$A$"&amp;MATCH($S1906&amp;$J1906,SorP!C:C,0))))</f>
        <v/>
      </c>
      <c r="U1906" s="194"/>
      <c r="V1906" s="218" t="e">
        <f>IF(C1906="",NA(),IF(OR(C1906="Smelter not listed",C1906="Smelter not yet identified"),MATCH($B1906&amp;$D1906,'Smelter Look-up'!$J:$J,0),MATCH($B1906&amp;$C1906,'Smelter Look-up'!$J:$J,0)))</f>
        <v>#N/A</v>
      </c>
      <c r="X1906" s="219">
        <f t="shared" ca="1" si="268"/>
        <v>0</v>
      </c>
      <c r="AB1906" s="220" t="str">
        <f t="shared" si="269"/>
        <v/>
      </c>
    </row>
    <row r="1907" spans="1:28" s="219" customFormat="1" ht="20.25">
      <c r="A1907" s="174"/>
      <c r="B1907" s="175" t="str">
        <f>IF(LEN(A1907)=0,"",INDEX('Smelter Look-up'!$A:$A,MATCH($A1907,'Smelter Look-up'!$E:$E,0)))</f>
        <v/>
      </c>
      <c r="C1907" s="179" t="str">
        <f>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267"/>
        <v/>
      </c>
      <c r="T1907" s="174" t="str">
        <f ca="1">IF(B1907="","",IF(ISERROR(MATCH($J1907,SorP!$B$1:$B$6279,0)),"",INDIRECT("'SorP'!$A$"&amp;MATCH($S1907&amp;$J1907,SorP!C:C,0))))</f>
        <v/>
      </c>
      <c r="U1907" s="194"/>
      <c r="V1907" s="218" t="e">
        <f>IF(C1907="",NA(),IF(OR(C1907="Smelter not listed",C1907="Smelter not yet identified"),MATCH($B1907&amp;$D1907,'Smelter Look-up'!$J:$J,0),MATCH($B1907&amp;$C1907,'Smelter Look-up'!$J:$J,0)))</f>
        <v>#N/A</v>
      </c>
      <c r="X1907" s="219">
        <f t="shared" ca="1" si="268"/>
        <v>0</v>
      </c>
      <c r="AB1907" s="220" t="str">
        <f t="shared" si="269"/>
        <v/>
      </c>
    </row>
    <row r="1908" spans="1:28" s="219" customFormat="1" ht="20.25">
      <c r="A1908" s="174"/>
      <c r="B1908" s="175" t="str">
        <f>IF(LEN(A1908)=0,"",INDEX('Smelter Look-up'!$A:$A,MATCH($A1908,'Smelter Look-up'!$E:$E,0)))</f>
        <v/>
      </c>
      <c r="C1908" s="179" t="str">
        <f>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267"/>
        <v/>
      </c>
      <c r="T1908" s="174" t="str">
        <f ca="1">IF(B1908="","",IF(ISERROR(MATCH($J1908,SorP!$B$1:$B$6279,0)),"",INDIRECT("'SorP'!$A$"&amp;MATCH($S1908&amp;$J1908,SorP!C:C,0))))</f>
        <v/>
      </c>
      <c r="U1908" s="194"/>
      <c r="V1908" s="218" t="e">
        <f>IF(C1908="",NA(),IF(OR(C1908="Smelter not listed",C1908="Smelter not yet identified"),MATCH($B1908&amp;$D1908,'Smelter Look-up'!$J:$J,0),MATCH($B1908&amp;$C1908,'Smelter Look-up'!$J:$J,0)))</f>
        <v>#N/A</v>
      </c>
      <c r="X1908" s="219">
        <f t="shared" ca="1" si="268"/>
        <v>0</v>
      </c>
      <c r="AB1908" s="220" t="str">
        <f t="shared" si="269"/>
        <v/>
      </c>
    </row>
    <row r="1909" spans="1:28" s="219" customFormat="1" ht="20.25">
      <c r="A1909" s="174"/>
      <c r="B1909" s="175" t="str">
        <f>IF(LEN(A1909)=0,"",INDEX('Smelter Look-up'!$A:$A,MATCH($A1909,'Smelter Look-up'!$E:$E,0)))</f>
        <v/>
      </c>
      <c r="C1909" s="179" t="str">
        <f>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267"/>
        <v/>
      </c>
      <c r="T1909" s="174" t="str">
        <f ca="1">IF(B1909="","",IF(ISERROR(MATCH($J1909,SorP!$B$1:$B$6279,0)),"",INDIRECT("'SorP'!$A$"&amp;MATCH($S1909&amp;$J1909,SorP!C:C,0))))</f>
        <v/>
      </c>
      <c r="U1909" s="194"/>
      <c r="V1909" s="218" t="e">
        <f>IF(C1909="",NA(),IF(OR(C1909="Smelter not listed",C1909="Smelter not yet identified"),MATCH($B1909&amp;$D1909,'Smelter Look-up'!$J:$J,0),MATCH($B1909&amp;$C1909,'Smelter Look-up'!$J:$J,0)))</f>
        <v>#N/A</v>
      </c>
      <c r="X1909" s="219">
        <f t="shared" ca="1" si="268"/>
        <v>0</v>
      </c>
      <c r="AB1909" s="220" t="str">
        <f t="shared" si="269"/>
        <v/>
      </c>
    </row>
    <row r="1910" spans="1:28" s="219" customFormat="1" ht="20.25">
      <c r="A1910" s="174"/>
      <c r="B1910" s="175" t="str">
        <f>IF(LEN(A1910)=0,"",INDEX('Smelter Look-up'!$A:$A,MATCH($A1910,'Smelter Look-up'!$E:$E,0)))</f>
        <v/>
      </c>
      <c r="C1910" s="179" t="str">
        <f>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267"/>
        <v/>
      </c>
      <c r="T1910" s="174" t="str">
        <f ca="1">IF(B1910="","",IF(ISERROR(MATCH($J1910,SorP!$B$1:$B$6279,0)),"",INDIRECT("'SorP'!$A$"&amp;MATCH($S1910&amp;$J1910,SorP!C:C,0))))</f>
        <v/>
      </c>
      <c r="U1910" s="194"/>
      <c r="V1910" s="218" t="e">
        <f>IF(C1910="",NA(),IF(OR(C1910="Smelter not listed",C1910="Smelter not yet identified"),MATCH($B1910&amp;$D1910,'Smelter Look-up'!$J:$J,0),MATCH($B1910&amp;$C1910,'Smelter Look-up'!$J:$J,0)))</f>
        <v>#N/A</v>
      </c>
      <c r="X1910" s="219">
        <f t="shared" ca="1" si="268"/>
        <v>0</v>
      </c>
      <c r="AB1910" s="220" t="str">
        <f t="shared" si="269"/>
        <v/>
      </c>
    </row>
    <row r="1911" spans="1:28" s="219" customFormat="1" ht="20.25">
      <c r="A1911" s="174"/>
      <c r="B1911" s="175" t="str">
        <f>IF(LEN(A1911)=0,"",INDEX('Smelter Look-up'!$A:$A,MATCH($A1911,'Smelter Look-up'!$E:$E,0)))</f>
        <v/>
      </c>
      <c r="C1911" s="179" t="str">
        <f>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267"/>
        <v/>
      </c>
      <c r="T1911" s="174" t="str">
        <f ca="1">IF(B1911="","",IF(ISERROR(MATCH($J1911,SorP!$B$1:$B$6279,0)),"",INDIRECT("'SorP'!$A$"&amp;MATCH($S1911&amp;$J1911,SorP!C:C,0))))</f>
        <v/>
      </c>
      <c r="U1911" s="194"/>
      <c r="V1911" s="218" t="e">
        <f>IF(C1911="",NA(),IF(OR(C1911="Smelter not listed",C1911="Smelter not yet identified"),MATCH($B1911&amp;$D1911,'Smelter Look-up'!$J:$J,0),MATCH($B1911&amp;$C1911,'Smelter Look-up'!$J:$J,0)))</f>
        <v>#N/A</v>
      </c>
      <c r="X1911" s="219">
        <f t="shared" ca="1" si="268"/>
        <v>0</v>
      </c>
      <c r="AB1911" s="220" t="str">
        <f t="shared" si="269"/>
        <v/>
      </c>
    </row>
    <row r="1912" spans="1:28" s="219" customFormat="1" ht="20.25">
      <c r="A1912" s="174"/>
      <c r="B1912" s="175" t="str">
        <f>IF(LEN(A1912)=0,"",INDEX('Smelter Look-up'!$A:$A,MATCH($A1912,'Smelter Look-up'!$E:$E,0)))</f>
        <v/>
      </c>
      <c r="C1912" s="179" t="str">
        <f>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267"/>
        <v/>
      </c>
      <c r="T1912" s="174" t="str">
        <f ca="1">IF(B1912="","",IF(ISERROR(MATCH($J1912,SorP!$B$1:$B$6279,0)),"",INDIRECT("'SorP'!$A$"&amp;MATCH($S1912&amp;$J1912,SorP!C:C,0))))</f>
        <v/>
      </c>
      <c r="U1912" s="194"/>
      <c r="V1912" s="218" t="e">
        <f>IF(C1912="",NA(),IF(OR(C1912="Smelter not listed",C1912="Smelter not yet identified"),MATCH($B1912&amp;$D1912,'Smelter Look-up'!$J:$J,0),MATCH($B1912&amp;$C1912,'Smelter Look-up'!$J:$J,0)))</f>
        <v>#N/A</v>
      </c>
      <c r="X1912" s="219">
        <f t="shared" ca="1" si="268"/>
        <v>0</v>
      </c>
      <c r="AB1912" s="220" t="str">
        <f t="shared" si="269"/>
        <v/>
      </c>
    </row>
    <row r="1913" spans="1:28" s="219" customFormat="1" ht="20.25">
      <c r="A1913" s="174"/>
      <c r="B1913" s="175" t="str">
        <f>IF(LEN(A1913)=0,"",INDEX('Smelter Look-up'!$A:$A,MATCH($A1913,'Smelter Look-up'!$E:$E,0)))</f>
        <v/>
      </c>
      <c r="C1913" s="179" t="str">
        <f>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267"/>
        <v/>
      </c>
      <c r="T1913" s="174" t="str">
        <f ca="1">IF(B1913="","",IF(ISERROR(MATCH($J1913,SorP!$B$1:$B$6279,0)),"",INDIRECT("'SorP'!$A$"&amp;MATCH($S1913&amp;$J1913,SorP!C:C,0))))</f>
        <v/>
      </c>
      <c r="U1913" s="194"/>
      <c r="V1913" s="218" t="e">
        <f>IF(C1913="",NA(),IF(OR(C1913="Smelter not listed",C1913="Smelter not yet identified"),MATCH($B1913&amp;$D1913,'Smelter Look-up'!$J:$J,0),MATCH($B1913&amp;$C1913,'Smelter Look-up'!$J:$J,0)))</f>
        <v>#N/A</v>
      </c>
      <c r="X1913" s="219">
        <f t="shared" ca="1" si="268"/>
        <v>0</v>
      </c>
      <c r="AB1913" s="220" t="str">
        <f t="shared" si="269"/>
        <v/>
      </c>
    </row>
    <row r="1914" spans="1:28" s="219" customFormat="1" ht="20.25">
      <c r="A1914" s="174"/>
      <c r="B1914" s="175" t="str">
        <f>IF(LEN(A1914)=0,"",INDEX('Smelter Look-up'!$A:$A,MATCH($A1914,'Smelter Look-up'!$E:$E,0)))</f>
        <v/>
      </c>
      <c r="C1914" s="179" t="str">
        <f>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ca="1" si="267"/>
        <v/>
      </c>
      <c r="T1914" s="174" t="str">
        <f ca="1">IF(B1914="","",IF(ISERROR(MATCH($J1914,SorP!$B$1:$B$6279,0)),"",INDIRECT("'SorP'!$A$"&amp;MATCH($S1914&amp;$J1914,SorP!C:C,0))))</f>
        <v/>
      </c>
      <c r="U1914" s="194"/>
      <c r="V1914" s="218" t="e">
        <f>IF(C1914="",NA(),IF(OR(C1914="Smelter not listed",C1914="Smelter not yet identified"),MATCH($B1914&amp;$D1914,'Smelter Look-up'!$J:$J,0),MATCH($B1914&amp;$C1914,'Smelter Look-up'!$J:$J,0)))</f>
        <v>#N/A</v>
      </c>
      <c r="X1914" s="219">
        <f t="shared" ca="1" si="268"/>
        <v>0</v>
      </c>
      <c r="AB1914" s="220" t="str">
        <f t="shared" si="269"/>
        <v/>
      </c>
    </row>
    <row r="1915" spans="1:28" s="219" customFormat="1" ht="20.25">
      <c r="A1915" s="174"/>
      <c r="B1915" s="175" t="str">
        <f>IF(LEN(A1915)=0,"",INDEX('Smelter Look-up'!$A:$A,MATCH($A1915,'Smelter Look-up'!$E:$E,0)))</f>
        <v/>
      </c>
      <c r="C1915" s="179" t="str">
        <f>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ref="S1915" ca="1" si="270">IF(B1915="","",IF(ISERROR(MATCH($E1915,CL,0)),"Unknown",INDIRECT("'C'!$A$"&amp;MATCH($E1915,CL,0)+1)))</f>
        <v/>
      </c>
      <c r="T1915" s="174" t="str">
        <f ca="1">IF(B1915="","",IF(ISERROR(MATCH($J1915,SorP!$B$1:$B$6279,0)),"",INDIRECT("'SorP'!$A$"&amp;MATCH($S1915&amp;$J1915,SorP!C:C,0))))</f>
        <v/>
      </c>
      <c r="U1915" s="194"/>
      <c r="V1915" s="218" t="e">
        <f>IF(C1915="",NA(),IF(OR(C1915="Smelter not listed",C1915="Smelter not yet identified"),MATCH($B1915&amp;$D1915,'Smelter Look-up'!$J:$J,0),MATCH($B1915&amp;$C1915,'Smelter Look-up'!$J:$J,0)))</f>
        <v>#N/A</v>
      </c>
      <c r="X1915" s="219">
        <f t="shared" ref="X1915" ca="1" si="271">IF(AND(C1915="Smelter not listed",OR(LEN(D1915)=0,LEN(E1915)=0)),1,0)</f>
        <v>0</v>
      </c>
      <c r="AB1915" s="220" t="str">
        <f t="shared" ref="AB1915" si="272">B1915&amp;C1915</f>
        <v/>
      </c>
    </row>
    <row r="1916" spans="1:28" s="219" customFormat="1" ht="20.25">
      <c r="A1916" s="174"/>
      <c r="B1916" s="175" t="str">
        <f>IF(LEN(A1916)=0,"",INDEX('Smelter Look-up'!$A:$A,MATCH($A1916,'Smelter Look-up'!$E:$E,0)))</f>
        <v/>
      </c>
      <c r="C1916" s="179" t="str">
        <f>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ref="S1916:S1947" ca="1" si="273">IF(B1916="","",IF(ISERROR(MATCH($E1916,CL,0)),"Unknown",INDIRECT("'C'!$A$"&amp;MATCH($E1916,CL,0)+1)))</f>
        <v/>
      </c>
      <c r="T1916" s="174" t="str">
        <f ca="1">IF(B1916="","",IF(ISERROR(MATCH($J1916,SorP!$B$1:$B$6279,0)),"",INDIRECT("'SorP'!$A$"&amp;MATCH($S1916&amp;$J1916,SorP!C:C,0))))</f>
        <v/>
      </c>
      <c r="U1916" s="194"/>
      <c r="V1916" s="218" t="e">
        <f>IF(C1916="",NA(),IF(OR(C1916="Smelter not listed",C1916="Smelter not yet identified"),MATCH($B1916&amp;$D1916,'Smelter Look-up'!$J:$J,0),MATCH($B1916&amp;$C1916,'Smelter Look-up'!$J:$J,0)))</f>
        <v>#N/A</v>
      </c>
      <c r="X1916" s="219">
        <f t="shared" ref="X1916:X1947" ca="1" si="274">IF(AND(C1916="Smelter not listed",OR(LEN(D1916)=0,LEN(E1916)=0)),1,0)</f>
        <v>0</v>
      </c>
      <c r="AB1916" s="220" t="str">
        <f t="shared" ref="AB1916:AB1947" si="275">B1916&amp;C1916</f>
        <v/>
      </c>
    </row>
    <row r="1917" spans="1:28" s="219" customFormat="1" ht="20.25">
      <c r="A1917" s="174"/>
      <c r="B1917" s="175" t="str">
        <f>IF(LEN(A1917)=0,"",INDEX('Smelter Look-up'!$A:$A,MATCH($A1917,'Smelter Look-up'!$E:$E,0)))</f>
        <v/>
      </c>
      <c r="C1917" s="179" t="str">
        <f>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273"/>
        <v/>
      </c>
      <c r="T1917" s="174" t="str">
        <f ca="1">IF(B1917="","",IF(ISERROR(MATCH($J1917,SorP!$B$1:$B$6279,0)),"",INDIRECT("'SorP'!$A$"&amp;MATCH($S1917&amp;$J1917,SorP!C:C,0))))</f>
        <v/>
      </c>
      <c r="U1917" s="194"/>
      <c r="V1917" s="218" t="e">
        <f>IF(C1917="",NA(),IF(OR(C1917="Smelter not listed",C1917="Smelter not yet identified"),MATCH($B1917&amp;$D1917,'Smelter Look-up'!$J:$J,0),MATCH($B1917&amp;$C1917,'Smelter Look-up'!$J:$J,0)))</f>
        <v>#N/A</v>
      </c>
      <c r="X1917" s="219">
        <f t="shared" ca="1" si="274"/>
        <v>0</v>
      </c>
      <c r="AB1917" s="220" t="str">
        <f t="shared" si="275"/>
        <v/>
      </c>
    </row>
    <row r="1918" spans="1:28" s="219" customFormat="1" ht="20.25">
      <c r="A1918" s="174"/>
      <c r="B1918" s="175" t="str">
        <f>IF(LEN(A1918)=0,"",INDEX('Smelter Look-up'!$A:$A,MATCH($A1918,'Smelter Look-up'!$E:$E,0)))</f>
        <v/>
      </c>
      <c r="C1918" s="179" t="str">
        <f>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273"/>
        <v/>
      </c>
      <c r="T1918" s="174" t="str">
        <f ca="1">IF(B1918="","",IF(ISERROR(MATCH($J1918,SorP!$B$1:$B$6279,0)),"",INDIRECT("'SorP'!$A$"&amp;MATCH($S1918&amp;$J1918,SorP!C:C,0))))</f>
        <v/>
      </c>
      <c r="U1918" s="194"/>
      <c r="V1918" s="218" t="e">
        <f>IF(C1918="",NA(),IF(OR(C1918="Smelter not listed",C1918="Smelter not yet identified"),MATCH($B1918&amp;$D1918,'Smelter Look-up'!$J:$J,0),MATCH($B1918&amp;$C1918,'Smelter Look-up'!$J:$J,0)))</f>
        <v>#N/A</v>
      </c>
      <c r="X1918" s="219">
        <f t="shared" ca="1" si="274"/>
        <v>0</v>
      </c>
      <c r="AB1918" s="220" t="str">
        <f t="shared" si="275"/>
        <v/>
      </c>
    </row>
    <row r="1919" spans="1:28" s="219" customFormat="1" ht="20.25">
      <c r="A1919" s="174"/>
      <c r="B1919" s="175" t="str">
        <f>IF(LEN(A1919)=0,"",INDEX('Smelter Look-up'!$A:$A,MATCH($A1919,'Smelter Look-up'!$E:$E,0)))</f>
        <v/>
      </c>
      <c r="C1919" s="179" t="str">
        <f>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273"/>
        <v/>
      </c>
      <c r="T1919" s="174" t="str">
        <f ca="1">IF(B1919="","",IF(ISERROR(MATCH($J1919,SorP!$B$1:$B$6279,0)),"",INDIRECT("'SorP'!$A$"&amp;MATCH($S1919&amp;$J1919,SorP!C:C,0))))</f>
        <v/>
      </c>
      <c r="U1919" s="194"/>
      <c r="V1919" s="218" t="e">
        <f>IF(C1919="",NA(),IF(OR(C1919="Smelter not listed",C1919="Smelter not yet identified"),MATCH($B1919&amp;$D1919,'Smelter Look-up'!$J:$J,0),MATCH($B1919&amp;$C1919,'Smelter Look-up'!$J:$J,0)))</f>
        <v>#N/A</v>
      </c>
      <c r="X1919" s="219">
        <f t="shared" ca="1" si="274"/>
        <v>0</v>
      </c>
      <c r="AB1919" s="220" t="str">
        <f t="shared" si="275"/>
        <v/>
      </c>
    </row>
    <row r="1920" spans="1:28" s="219" customFormat="1" ht="20.25">
      <c r="A1920" s="174"/>
      <c r="B1920" s="175" t="str">
        <f>IF(LEN(A1920)=0,"",INDEX('Smelter Look-up'!$A:$A,MATCH($A1920,'Smelter Look-up'!$E:$E,0)))</f>
        <v/>
      </c>
      <c r="C1920" s="179" t="str">
        <f>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273"/>
        <v/>
      </c>
      <c r="T1920" s="174" t="str">
        <f ca="1">IF(B1920="","",IF(ISERROR(MATCH($J1920,SorP!$B$1:$B$6279,0)),"",INDIRECT("'SorP'!$A$"&amp;MATCH($S1920&amp;$J1920,SorP!C:C,0))))</f>
        <v/>
      </c>
      <c r="U1920" s="194"/>
      <c r="V1920" s="218" t="e">
        <f>IF(C1920="",NA(),IF(OR(C1920="Smelter not listed",C1920="Smelter not yet identified"),MATCH($B1920&amp;$D1920,'Smelter Look-up'!$J:$J,0),MATCH($B1920&amp;$C1920,'Smelter Look-up'!$J:$J,0)))</f>
        <v>#N/A</v>
      </c>
      <c r="X1920" s="219">
        <f t="shared" ca="1" si="274"/>
        <v>0</v>
      </c>
      <c r="AB1920" s="220" t="str">
        <f t="shared" si="275"/>
        <v/>
      </c>
    </row>
    <row r="1921" spans="1:28" s="219" customFormat="1" ht="20.25">
      <c r="A1921" s="174"/>
      <c r="B1921" s="175" t="str">
        <f>IF(LEN(A1921)=0,"",INDEX('Smelter Look-up'!$A:$A,MATCH($A1921,'Smelter Look-up'!$E:$E,0)))</f>
        <v/>
      </c>
      <c r="C1921" s="179" t="str">
        <f>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273"/>
        <v/>
      </c>
      <c r="T1921" s="174" t="str">
        <f ca="1">IF(B1921="","",IF(ISERROR(MATCH($J1921,SorP!$B$1:$B$6279,0)),"",INDIRECT("'SorP'!$A$"&amp;MATCH($S1921&amp;$J1921,SorP!C:C,0))))</f>
        <v/>
      </c>
      <c r="U1921" s="194"/>
      <c r="V1921" s="218" t="e">
        <f>IF(C1921="",NA(),IF(OR(C1921="Smelter not listed",C1921="Smelter not yet identified"),MATCH($B1921&amp;$D1921,'Smelter Look-up'!$J:$J,0),MATCH($B1921&amp;$C1921,'Smelter Look-up'!$J:$J,0)))</f>
        <v>#N/A</v>
      </c>
      <c r="X1921" s="219">
        <f t="shared" ca="1" si="274"/>
        <v>0</v>
      </c>
      <c r="AB1921" s="220" t="str">
        <f t="shared" si="275"/>
        <v/>
      </c>
    </row>
    <row r="1922" spans="1:28" s="219" customFormat="1" ht="20.25">
      <c r="A1922" s="174"/>
      <c r="B1922" s="175" t="str">
        <f>IF(LEN(A1922)=0,"",INDEX('Smelter Look-up'!$A:$A,MATCH($A1922,'Smelter Look-up'!$E:$E,0)))</f>
        <v/>
      </c>
      <c r="C1922" s="179" t="str">
        <f>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273"/>
        <v/>
      </c>
      <c r="T1922" s="174" t="str">
        <f ca="1">IF(B1922="","",IF(ISERROR(MATCH($J1922,SorP!$B$1:$B$6279,0)),"",INDIRECT("'SorP'!$A$"&amp;MATCH($S1922&amp;$J1922,SorP!C:C,0))))</f>
        <v/>
      </c>
      <c r="U1922" s="194"/>
      <c r="V1922" s="218" t="e">
        <f>IF(C1922="",NA(),IF(OR(C1922="Smelter not listed",C1922="Smelter not yet identified"),MATCH($B1922&amp;$D1922,'Smelter Look-up'!$J:$J,0),MATCH($B1922&amp;$C1922,'Smelter Look-up'!$J:$J,0)))</f>
        <v>#N/A</v>
      </c>
      <c r="X1922" s="219">
        <f t="shared" ca="1" si="274"/>
        <v>0</v>
      </c>
      <c r="AB1922" s="220" t="str">
        <f t="shared" si="275"/>
        <v/>
      </c>
    </row>
    <row r="1923" spans="1:28" s="219" customFormat="1" ht="20.25">
      <c r="A1923" s="174"/>
      <c r="B1923" s="175" t="str">
        <f>IF(LEN(A1923)=0,"",INDEX('Smelter Look-up'!$A:$A,MATCH($A1923,'Smelter Look-up'!$E:$E,0)))</f>
        <v/>
      </c>
      <c r="C1923" s="179" t="str">
        <f>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273"/>
        <v/>
      </c>
      <c r="T1923" s="174" t="str">
        <f ca="1">IF(B1923="","",IF(ISERROR(MATCH($J1923,SorP!$B$1:$B$6279,0)),"",INDIRECT("'SorP'!$A$"&amp;MATCH($S1923&amp;$J1923,SorP!C:C,0))))</f>
        <v/>
      </c>
      <c r="U1923" s="194"/>
      <c r="V1923" s="218" t="e">
        <f>IF(C1923="",NA(),IF(OR(C1923="Smelter not listed",C1923="Smelter not yet identified"),MATCH($B1923&amp;$D1923,'Smelter Look-up'!$J:$J,0),MATCH($B1923&amp;$C1923,'Smelter Look-up'!$J:$J,0)))</f>
        <v>#N/A</v>
      </c>
      <c r="X1923" s="219">
        <f t="shared" ca="1" si="274"/>
        <v>0</v>
      </c>
      <c r="AB1923" s="220" t="str">
        <f t="shared" si="275"/>
        <v/>
      </c>
    </row>
    <row r="1924" spans="1:28" s="219" customFormat="1" ht="20.25">
      <c r="A1924" s="174"/>
      <c r="B1924" s="175" t="str">
        <f>IF(LEN(A1924)=0,"",INDEX('Smelter Look-up'!$A:$A,MATCH($A1924,'Smelter Look-up'!$E:$E,0)))</f>
        <v/>
      </c>
      <c r="C1924" s="179" t="str">
        <f>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273"/>
        <v/>
      </c>
      <c r="T1924" s="174" t="str">
        <f ca="1">IF(B1924="","",IF(ISERROR(MATCH($J1924,SorP!$B$1:$B$6279,0)),"",INDIRECT("'SorP'!$A$"&amp;MATCH($S1924&amp;$J1924,SorP!C:C,0))))</f>
        <v/>
      </c>
      <c r="U1924" s="194"/>
      <c r="V1924" s="218" t="e">
        <f>IF(C1924="",NA(),IF(OR(C1924="Smelter not listed",C1924="Smelter not yet identified"),MATCH($B1924&amp;$D1924,'Smelter Look-up'!$J:$J,0),MATCH($B1924&amp;$C1924,'Smelter Look-up'!$J:$J,0)))</f>
        <v>#N/A</v>
      </c>
      <c r="X1924" s="219">
        <f t="shared" ca="1" si="274"/>
        <v>0</v>
      </c>
      <c r="AB1924" s="220" t="str">
        <f t="shared" si="275"/>
        <v/>
      </c>
    </row>
    <row r="1925" spans="1:28" s="219" customFormat="1" ht="20.25">
      <c r="A1925" s="174"/>
      <c r="B1925" s="175" t="str">
        <f>IF(LEN(A1925)=0,"",INDEX('Smelter Look-up'!$A:$A,MATCH($A1925,'Smelter Look-up'!$E:$E,0)))</f>
        <v/>
      </c>
      <c r="C1925" s="179" t="str">
        <f>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273"/>
        <v/>
      </c>
      <c r="T1925" s="174" t="str">
        <f ca="1">IF(B1925="","",IF(ISERROR(MATCH($J1925,SorP!$B$1:$B$6279,0)),"",INDIRECT("'SorP'!$A$"&amp;MATCH($S1925&amp;$J1925,SorP!C:C,0))))</f>
        <v/>
      </c>
      <c r="U1925" s="194"/>
      <c r="V1925" s="218" t="e">
        <f>IF(C1925="",NA(),IF(OR(C1925="Smelter not listed",C1925="Smelter not yet identified"),MATCH($B1925&amp;$D1925,'Smelter Look-up'!$J:$J,0),MATCH($B1925&amp;$C1925,'Smelter Look-up'!$J:$J,0)))</f>
        <v>#N/A</v>
      </c>
      <c r="X1925" s="219">
        <f t="shared" ca="1" si="274"/>
        <v>0</v>
      </c>
      <c r="AB1925" s="220" t="str">
        <f t="shared" si="275"/>
        <v/>
      </c>
    </row>
    <row r="1926" spans="1:28" s="219" customFormat="1" ht="20.25">
      <c r="A1926" s="174"/>
      <c r="B1926" s="175" t="str">
        <f>IF(LEN(A1926)=0,"",INDEX('Smelter Look-up'!$A:$A,MATCH($A1926,'Smelter Look-up'!$E:$E,0)))</f>
        <v/>
      </c>
      <c r="C1926" s="179" t="str">
        <f>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273"/>
        <v/>
      </c>
      <c r="T1926" s="174" t="str">
        <f ca="1">IF(B1926="","",IF(ISERROR(MATCH($J1926,SorP!$B$1:$B$6279,0)),"",INDIRECT("'SorP'!$A$"&amp;MATCH($S1926&amp;$J1926,SorP!C:C,0))))</f>
        <v/>
      </c>
      <c r="U1926" s="194"/>
      <c r="V1926" s="218" t="e">
        <f>IF(C1926="",NA(),IF(OR(C1926="Smelter not listed",C1926="Smelter not yet identified"),MATCH($B1926&amp;$D1926,'Smelter Look-up'!$J:$J,0),MATCH($B1926&amp;$C1926,'Smelter Look-up'!$J:$J,0)))</f>
        <v>#N/A</v>
      </c>
      <c r="X1926" s="219">
        <f t="shared" ca="1" si="274"/>
        <v>0</v>
      </c>
      <c r="AB1926" s="220" t="str">
        <f t="shared" si="275"/>
        <v/>
      </c>
    </row>
    <row r="1927" spans="1:28" s="219" customFormat="1" ht="20.25">
      <c r="A1927" s="174"/>
      <c r="B1927" s="175" t="str">
        <f>IF(LEN(A1927)=0,"",INDEX('Smelter Look-up'!$A:$A,MATCH($A1927,'Smelter Look-up'!$E:$E,0)))</f>
        <v/>
      </c>
      <c r="C1927" s="179" t="str">
        <f>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273"/>
        <v/>
      </c>
      <c r="T1927" s="174" t="str">
        <f ca="1">IF(B1927="","",IF(ISERROR(MATCH($J1927,SorP!$B$1:$B$6279,0)),"",INDIRECT("'SorP'!$A$"&amp;MATCH($S1927&amp;$J1927,SorP!C:C,0))))</f>
        <v/>
      </c>
      <c r="U1927" s="194"/>
      <c r="V1927" s="218" t="e">
        <f>IF(C1927="",NA(),IF(OR(C1927="Smelter not listed",C1927="Smelter not yet identified"),MATCH($B1927&amp;$D1927,'Smelter Look-up'!$J:$J,0),MATCH($B1927&amp;$C1927,'Smelter Look-up'!$J:$J,0)))</f>
        <v>#N/A</v>
      </c>
      <c r="X1927" s="219">
        <f t="shared" ca="1" si="274"/>
        <v>0</v>
      </c>
      <c r="AB1927" s="220" t="str">
        <f t="shared" si="275"/>
        <v/>
      </c>
    </row>
    <row r="1928" spans="1:28" s="219" customFormat="1" ht="20.25">
      <c r="A1928" s="174"/>
      <c r="B1928" s="175" t="str">
        <f>IF(LEN(A1928)=0,"",INDEX('Smelter Look-up'!$A:$A,MATCH($A1928,'Smelter Look-up'!$E:$E,0)))</f>
        <v/>
      </c>
      <c r="C1928" s="179" t="str">
        <f>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273"/>
        <v/>
      </c>
      <c r="T1928" s="174" t="str">
        <f ca="1">IF(B1928="","",IF(ISERROR(MATCH($J1928,SorP!$B$1:$B$6279,0)),"",INDIRECT("'SorP'!$A$"&amp;MATCH($S1928&amp;$J1928,SorP!C:C,0))))</f>
        <v/>
      </c>
      <c r="U1928" s="194"/>
      <c r="V1928" s="218" t="e">
        <f>IF(C1928="",NA(),IF(OR(C1928="Smelter not listed",C1928="Smelter not yet identified"),MATCH($B1928&amp;$D1928,'Smelter Look-up'!$J:$J,0),MATCH($B1928&amp;$C1928,'Smelter Look-up'!$J:$J,0)))</f>
        <v>#N/A</v>
      </c>
      <c r="X1928" s="219">
        <f t="shared" ca="1" si="274"/>
        <v>0</v>
      </c>
      <c r="AB1928" s="220" t="str">
        <f t="shared" si="275"/>
        <v/>
      </c>
    </row>
    <row r="1929" spans="1:28" s="219" customFormat="1" ht="20.25">
      <c r="A1929" s="174"/>
      <c r="B1929" s="175" t="str">
        <f>IF(LEN(A1929)=0,"",INDEX('Smelter Look-up'!$A:$A,MATCH($A1929,'Smelter Look-up'!$E:$E,0)))</f>
        <v/>
      </c>
      <c r="C1929" s="179" t="str">
        <f>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273"/>
        <v/>
      </c>
      <c r="T1929" s="174" t="str">
        <f ca="1">IF(B1929="","",IF(ISERROR(MATCH($J1929,SorP!$B$1:$B$6279,0)),"",INDIRECT("'SorP'!$A$"&amp;MATCH($S1929&amp;$J1929,SorP!C:C,0))))</f>
        <v/>
      </c>
      <c r="U1929" s="194"/>
      <c r="V1929" s="218" t="e">
        <f>IF(C1929="",NA(),IF(OR(C1929="Smelter not listed",C1929="Smelter not yet identified"),MATCH($B1929&amp;$D1929,'Smelter Look-up'!$J:$J,0),MATCH($B1929&amp;$C1929,'Smelter Look-up'!$J:$J,0)))</f>
        <v>#N/A</v>
      </c>
      <c r="X1929" s="219">
        <f t="shared" ca="1" si="274"/>
        <v>0</v>
      </c>
      <c r="AB1929" s="220" t="str">
        <f t="shared" si="275"/>
        <v/>
      </c>
    </row>
    <row r="1930" spans="1:28" s="219" customFormat="1" ht="20.25">
      <c r="A1930" s="174"/>
      <c r="B1930" s="175" t="str">
        <f>IF(LEN(A1930)=0,"",INDEX('Smelter Look-up'!$A:$A,MATCH($A1930,'Smelter Look-up'!$E:$E,0)))</f>
        <v/>
      </c>
      <c r="C1930" s="179" t="str">
        <f>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273"/>
        <v/>
      </c>
      <c r="T1930" s="174" t="str">
        <f ca="1">IF(B1930="","",IF(ISERROR(MATCH($J1930,SorP!$B$1:$B$6279,0)),"",INDIRECT("'SorP'!$A$"&amp;MATCH($S1930&amp;$J1930,SorP!C:C,0))))</f>
        <v/>
      </c>
      <c r="U1930" s="194"/>
      <c r="V1930" s="218" t="e">
        <f>IF(C1930="",NA(),IF(OR(C1930="Smelter not listed",C1930="Smelter not yet identified"),MATCH($B1930&amp;$D1930,'Smelter Look-up'!$J:$J,0),MATCH($B1930&amp;$C1930,'Smelter Look-up'!$J:$J,0)))</f>
        <v>#N/A</v>
      </c>
      <c r="X1930" s="219">
        <f t="shared" ca="1" si="274"/>
        <v>0</v>
      </c>
      <c r="AB1930" s="220" t="str">
        <f t="shared" si="275"/>
        <v/>
      </c>
    </row>
    <row r="1931" spans="1:28" s="219" customFormat="1" ht="20.25">
      <c r="A1931" s="174"/>
      <c r="B1931" s="175" t="str">
        <f>IF(LEN(A1931)=0,"",INDEX('Smelter Look-up'!$A:$A,MATCH($A1931,'Smelter Look-up'!$E:$E,0)))</f>
        <v/>
      </c>
      <c r="C1931" s="179" t="str">
        <f>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273"/>
        <v/>
      </c>
      <c r="T1931" s="174" t="str">
        <f ca="1">IF(B1931="","",IF(ISERROR(MATCH($J1931,SorP!$B$1:$B$6279,0)),"",INDIRECT("'SorP'!$A$"&amp;MATCH($S1931&amp;$J1931,SorP!C:C,0))))</f>
        <v/>
      </c>
      <c r="U1931" s="194"/>
      <c r="V1931" s="218" t="e">
        <f>IF(C1931="",NA(),IF(OR(C1931="Smelter not listed",C1931="Smelter not yet identified"),MATCH($B1931&amp;$D1931,'Smelter Look-up'!$J:$J,0),MATCH($B1931&amp;$C1931,'Smelter Look-up'!$J:$J,0)))</f>
        <v>#N/A</v>
      </c>
      <c r="X1931" s="219">
        <f t="shared" ca="1" si="274"/>
        <v>0</v>
      </c>
      <c r="AB1931" s="220" t="str">
        <f t="shared" si="275"/>
        <v/>
      </c>
    </row>
    <row r="1932" spans="1:28" s="219" customFormat="1" ht="20.25">
      <c r="A1932" s="174"/>
      <c r="B1932" s="175" t="str">
        <f>IF(LEN(A1932)=0,"",INDEX('Smelter Look-up'!$A:$A,MATCH($A1932,'Smelter Look-up'!$E:$E,0)))</f>
        <v/>
      </c>
      <c r="C1932" s="179" t="str">
        <f>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273"/>
        <v/>
      </c>
      <c r="T1932" s="174" t="str">
        <f ca="1">IF(B1932="","",IF(ISERROR(MATCH($J1932,SorP!$B$1:$B$6279,0)),"",INDIRECT("'SorP'!$A$"&amp;MATCH($S1932&amp;$J1932,SorP!C:C,0))))</f>
        <v/>
      </c>
      <c r="U1932" s="194"/>
      <c r="V1932" s="218" t="e">
        <f>IF(C1932="",NA(),IF(OR(C1932="Smelter not listed",C1932="Smelter not yet identified"),MATCH($B1932&amp;$D1932,'Smelter Look-up'!$J:$J,0),MATCH($B1932&amp;$C1932,'Smelter Look-up'!$J:$J,0)))</f>
        <v>#N/A</v>
      </c>
      <c r="X1932" s="219">
        <f t="shared" ca="1" si="274"/>
        <v>0</v>
      </c>
      <c r="AB1932" s="220" t="str">
        <f t="shared" si="275"/>
        <v/>
      </c>
    </row>
    <row r="1933" spans="1:28" s="219" customFormat="1" ht="20.25">
      <c r="A1933" s="174"/>
      <c r="B1933" s="175" t="str">
        <f>IF(LEN(A1933)=0,"",INDEX('Smelter Look-up'!$A:$A,MATCH($A1933,'Smelter Look-up'!$E:$E,0)))</f>
        <v/>
      </c>
      <c r="C1933" s="179" t="str">
        <f>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273"/>
        <v/>
      </c>
      <c r="T1933" s="174" t="str">
        <f ca="1">IF(B1933="","",IF(ISERROR(MATCH($J1933,SorP!$B$1:$B$6279,0)),"",INDIRECT("'SorP'!$A$"&amp;MATCH($S1933&amp;$J1933,SorP!C:C,0))))</f>
        <v/>
      </c>
      <c r="U1933" s="194"/>
      <c r="V1933" s="218" t="e">
        <f>IF(C1933="",NA(),IF(OR(C1933="Smelter not listed",C1933="Smelter not yet identified"),MATCH($B1933&amp;$D1933,'Smelter Look-up'!$J:$J,0),MATCH($B1933&amp;$C1933,'Smelter Look-up'!$J:$J,0)))</f>
        <v>#N/A</v>
      </c>
      <c r="X1933" s="219">
        <f t="shared" ca="1" si="274"/>
        <v>0</v>
      </c>
      <c r="AB1933" s="220" t="str">
        <f t="shared" si="275"/>
        <v/>
      </c>
    </row>
    <row r="1934" spans="1:28" s="219" customFormat="1" ht="20.25">
      <c r="A1934" s="174"/>
      <c r="B1934" s="175" t="str">
        <f>IF(LEN(A1934)=0,"",INDEX('Smelter Look-up'!$A:$A,MATCH($A1934,'Smelter Look-up'!$E:$E,0)))</f>
        <v/>
      </c>
      <c r="C1934" s="179" t="str">
        <f>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273"/>
        <v/>
      </c>
      <c r="T1934" s="174" t="str">
        <f ca="1">IF(B1934="","",IF(ISERROR(MATCH($J1934,SorP!$B$1:$B$6279,0)),"",INDIRECT("'SorP'!$A$"&amp;MATCH($S1934&amp;$J1934,SorP!C:C,0))))</f>
        <v/>
      </c>
      <c r="U1934" s="194"/>
      <c r="V1934" s="218" t="e">
        <f>IF(C1934="",NA(),IF(OR(C1934="Smelter not listed",C1934="Smelter not yet identified"),MATCH($B1934&amp;$D1934,'Smelter Look-up'!$J:$J,0),MATCH($B1934&amp;$C1934,'Smelter Look-up'!$J:$J,0)))</f>
        <v>#N/A</v>
      </c>
      <c r="X1934" s="219">
        <f t="shared" ca="1" si="274"/>
        <v>0</v>
      </c>
      <c r="AB1934" s="220" t="str">
        <f t="shared" si="275"/>
        <v/>
      </c>
    </row>
    <row r="1935" spans="1:28" s="219" customFormat="1" ht="20.25">
      <c r="A1935" s="174"/>
      <c r="B1935" s="175" t="str">
        <f>IF(LEN(A1935)=0,"",INDEX('Smelter Look-up'!$A:$A,MATCH($A1935,'Smelter Look-up'!$E:$E,0)))</f>
        <v/>
      </c>
      <c r="C1935" s="179" t="str">
        <f>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273"/>
        <v/>
      </c>
      <c r="T1935" s="174" t="str">
        <f ca="1">IF(B1935="","",IF(ISERROR(MATCH($J1935,SorP!$B$1:$B$6279,0)),"",INDIRECT("'SorP'!$A$"&amp;MATCH($S1935&amp;$J1935,SorP!C:C,0))))</f>
        <v/>
      </c>
      <c r="U1935" s="194"/>
      <c r="V1935" s="218" t="e">
        <f>IF(C1935="",NA(),IF(OR(C1935="Smelter not listed",C1935="Smelter not yet identified"),MATCH($B1935&amp;$D1935,'Smelter Look-up'!$J:$J,0),MATCH($B1935&amp;$C1935,'Smelter Look-up'!$J:$J,0)))</f>
        <v>#N/A</v>
      </c>
      <c r="X1935" s="219">
        <f t="shared" ca="1" si="274"/>
        <v>0</v>
      </c>
      <c r="AB1935" s="220" t="str">
        <f t="shared" si="275"/>
        <v/>
      </c>
    </row>
    <row r="1936" spans="1:28" s="219" customFormat="1" ht="20.25">
      <c r="A1936" s="174"/>
      <c r="B1936" s="175" t="str">
        <f>IF(LEN(A1936)=0,"",INDEX('Smelter Look-up'!$A:$A,MATCH($A1936,'Smelter Look-up'!$E:$E,0)))</f>
        <v/>
      </c>
      <c r="C1936" s="179" t="str">
        <f>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273"/>
        <v/>
      </c>
      <c r="T1936" s="174" t="str">
        <f ca="1">IF(B1936="","",IF(ISERROR(MATCH($J1936,SorP!$B$1:$B$6279,0)),"",INDIRECT("'SorP'!$A$"&amp;MATCH($S1936&amp;$J1936,SorP!C:C,0))))</f>
        <v/>
      </c>
      <c r="U1936" s="194"/>
      <c r="V1936" s="218" t="e">
        <f>IF(C1936="",NA(),IF(OR(C1936="Smelter not listed",C1936="Smelter not yet identified"),MATCH($B1936&amp;$D1936,'Smelter Look-up'!$J:$J,0),MATCH($B1936&amp;$C1936,'Smelter Look-up'!$J:$J,0)))</f>
        <v>#N/A</v>
      </c>
      <c r="X1936" s="219">
        <f t="shared" ca="1" si="274"/>
        <v>0</v>
      </c>
      <c r="AB1936" s="220" t="str">
        <f t="shared" si="275"/>
        <v/>
      </c>
    </row>
    <row r="1937" spans="1:28" s="219" customFormat="1" ht="20.25">
      <c r="A1937" s="174"/>
      <c r="B1937" s="175" t="str">
        <f>IF(LEN(A1937)=0,"",INDEX('Smelter Look-up'!$A:$A,MATCH($A1937,'Smelter Look-up'!$E:$E,0)))</f>
        <v/>
      </c>
      <c r="C1937" s="179" t="str">
        <f>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273"/>
        <v/>
      </c>
      <c r="T1937" s="174" t="str">
        <f ca="1">IF(B1937="","",IF(ISERROR(MATCH($J1937,SorP!$B$1:$B$6279,0)),"",INDIRECT("'SorP'!$A$"&amp;MATCH($S1937&amp;$J1937,SorP!C:C,0))))</f>
        <v/>
      </c>
      <c r="U1937" s="194"/>
      <c r="V1937" s="218" t="e">
        <f>IF(C1937="",NA(),IF(OR(C1937="Smelter not listed",C1937="Smelter not yet identified"),MATCH($B1937&amp;$D1937,'Smelter Look-up'!$J:$J,0),MATCH($B1937&amp;$C1937,'Smelter Look-up'!$J:$J,0)))</f>
        <v>#N/A</v>
      </c>
      <c r="X1937" s="219">
        <f t="shared" ca="1" si="274"/>
        <v>0</v>
      </c>
      <c r="AB1937" s="220" t="str">
        <f t="shared" si="275"/>
        <v/>
      </c>
    </row>
    <row r="1938" spans="1:28" s="219" customFormat="1" ht="20.25">
      <c r="A1938" s="174"/>
      <c r="B1938" s="175" t="str">
        <f>IF(LEN(A1938)=0,"",INDEX('Smelter Look-up'!$A:$A,MATCH($A1938,'Smelter Look-up'!$E:$E,0)))</f>
        <v/>
      </c>
      <c r="C1938" s="179" t="str">
        <f>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273"/>
        <v/>
      </c>
      <c r="T1938" s="174" t="str">
        <f ca="1">IF(B1938="","",IF(ISERROR(MATCH($J1938,SorP!$B$1:$B$6279,0)),"",INDIRECT("'SorP'!$A$"&amp;MATCH($S1938&amp;$J1938,SorP!C:C,0))))</f>
        <v/>
      </c>
      <c r="U1938" s="194"/>
      <c r="V1938" s="218" t="e">
        <f>IF(C1938="",NA(),IF(OR(C1938="Smelter not listed",C1938="Smelter not yet identified"),MATCH($B1938&amp;$D1938,'Smelter Look-up'!$J:$J,0),MATCH($B1938&amp;$C1938,'Smelter Look-up'!$J:$J,0)))</f>
        <v>#N/A</v>
      </c>
      <c r="X1938" s="219">
        <f t="shared" ca="1" si="274"/>
        <v>0</v>
      </c>
      <c r="AB1938" s="220" t="str">
        <f t="shared" si="275"/>
        <v/>
      </c>
    </row>
    <row r="1939" spans="1:28" s="219" customFormat="1" ht="20.25">
      <c r="A1939" s="174"/>
      <c r="B1939" s="175" t="str">
        <f>IF(LEN(A1939)=0,"",INDEX('Smelter Look-up'!$A:$A,MATCH($A1939,'Smelter Look-up'!$E:$E,0)))</f>
        <v/>
      </c>
      <c r="C1939" s="179" t="str">
        <f>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273"/>
        <v/>
      </c>
      <c r="T1939" s="174" t="str">
        <f ca="1">IF(B1939="","",IF(ISERROR(MATCH($J1939,SorP!$B$1:$B$6279,0)),"",INDIRECT("'SorP'!$A$"&amp;MATCH($S1939&amp;$J1939,SorP!C:C,0))))</f>
        <v/>
      </c>
      <c r="U1939" s="194"/>
      <c r="V1939" s="218" t="e">
        <f>IF(C1939="",NA(),IF(OR(C1939="Smelter not listed",C1939="Smelter not yet identified"),MATCH($B1939&amp;$D1939,'Smelter Look-up'!$J:$J,0),MATCH($B1939&amp;$C1939,'Smelter Look-up'!$J:$J,0)))</f>
        <v>#N/A</v>
      </c>
      <c r="X1939" s="219">
        <f t="shared" ca="1" si="274"/>
        <v>0</v>
      </c>
      <c r="AB1939" s="220" t="str">
        <f t="shared" si="275"/>
        <v/>
      </c>
    </row>
    <row r="1940" spans="1:28" s="219" customFormat="1" ht="20.25">
      <c r="A1940" s="174"/>
      <c r="B1940" s="175" t="str">
        <f>IF(LEN(A1940)=0,"",INDEX('Smelter Look-up'!$A:$A,MATCH($A1940,'Smelter Look-up'!$E:$E,0)))</f>
        <v/>
      </c>
      <c r="C1940" s="179" t="str">
        <f>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273"/>
        <v/>
      </c>
      <c r="T1940" s="174" t="str">
        <f ca="1">IF(B1940="","",IF(ISERROR(MATCH($J1940,SorP!$B$1:$B$6279,0)),"",INDIRECT("'SorP'!$A$"&amp;MATCH($S1940&amp;$J1940,SorP!C:C,0))))</f>
        <v/>
      </c>
      <c r="U1940" s="194"/>
      <c r="V1940" s="218" t="e">
        <f>IF(C1940="",NA(),IF(OR(C1940="Smelter not listed",C1940="Smelter not yet identified"),MATCH($B1940&amp;$D1940,'Smelter Look-up'!$J:$J,0),MATCH($B1940&amp;$C1940,'Smelter Look-up'!$J:$J,0)))</f>
        <v>#N/A</v>
      </c>
      <c r="X1940" s="219">
        <f t="shared" ca="1" si="274"/>
        <v>0</v>
      </c>
      <c r="AB1940" s="220" t="str">
        <f t="shared" si="275"/>
        <v/>
      </c>
    </row>
    <row r="1941" spans="1:28" s="219" customFormat="1" ht="20.25">
      <c r="A1941" s="174"/>
      <c r="B1941" s="175" t="str">
        <f>IF(LEN(A1941)=0,"",INDEX('Smelter Look-up'!$A:$A,MATCH($A1941,'Smelter Look-up'!$E:$E,0)))</f>
        <v/>
      </c>
      <c r="C1941" s="179" t="str">
        <f>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273"/>
        <v/>
      </c>
      <c r="T1941" s="174" t="str">
        <f ca="1">IF(B1941="","",IF(ISERROR(MATCH($J1941,SorP!$B$1:$B$6279,0)),"",INDIRECT("'SorP'!$A$"&amp;MATCH($S1941&amp;$J1941,SorP!C:C,0))))</f>
        <v/>
      </c>
      <c r="U1941" s="194"/>
      <c r="V1941" s="218" t="e">
        <f>IF(C1941="",NA(),IF(OR(C1941="Smelter not listed",C1941="Smelter not yet identified"),MATCH($B1941&amp;$D1941,'Smelter Look-up'!$J:$J,0),MATCH($B1941&amp;$C1941,'Smelter Look-up'!$J:$J,0)))</f>
        <v>#N/A</v>
      </c>
      <c r="X1941" s="219">
        <f t="shared" ca="1" si="274"/>
        <v>0</v>
      </c>
      <c r="AB1941" s="220" t="str">
        <f t="shared" si="275"/>
        <v/>
      </c>
    </row>
    <row r="1942" spans="1:28" s="219" customFormat="1" ht="20.25">
      <c r="A1942" s="174"/>
      <c r="B1942" s="175" t="str">
        <f>IF(LEN(A1942)=0,"",INDEX('Smelter Look-up'!$A:$A,MATCH($A1942,'Smelter Look-up'!$E:$E,0)))</f>
        <v/>
      </c>
      <c r="C1942" s="179" t="str">
        <f>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273"/>
        <v/>
      </c>
      <c r="T1942" s="174" t="str">
        <f ca="1">IF(B1942="","",IF(ISERROR(MATCH($J1942,SorP!$B$1:$B$6279,0)),"",INDIRECT("'SorP'!$A$"&amp;MATCH($S1942&amp;$J1942,SorP!C:C,0))))</f>
        <v/>
      </c>
      <c r="U1942" s="194"/>
      <c r="V1942" s="218" t="e">
        <f>IF(C1942="",NA(),IF(OR(C1942="Smelter not listed",C1942="Smelter not yet identified"),MATCH($B1942&amp;$D1942,'Smelter Look-up'!$J:$J,0),MATCH($B1942&amp;$C1942,'Smelter Look-up'!$J:$J,0)))</f>
        <v>#N/A</v>
      </c>
      <c r="X1942" s="219">
        <f t="shared" ca="1" si="274"/>
        <v>0</v>
      </c>
      <c r="AB1942" s="220" t="str">
        <f t="shared" si="275"/>
        <v/>
      </c>
    </row>
    <row r="1943" spans="1:28" s="219" customFormat="1" ht="20.25">
      <c r="A1943" s="174"/>
      <c r="B1943" s="175" t="str">
        <f>IF(LEN(A1943)=0,"",INDEX('Smelter Look-up'!$A:$A,MATCH($A1943,'Smelter Look-up'!$E:$E,0)))</f>
        <v/>
      </c>
      <c r="C1943" s="179" t="str">
        <f>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273"/>
        <v/>
      </c>
      <c r="T1943" s="174" t="str">
        <f ca="1">IF(B1943="","",IF(ISERROR(MATCH($J1943,SorP!$B$1:$B$6279,0)),"",INDIRECT("'SorP'!$A$"&amp;MATCH($S1943&amp;$J1943,SorP!C:C,0))))</f>
        <v/>
      </c>
      <c r="U1943" s="194"/>
      <c r="V1943" s="218" t="e">
        <f>IF(C1943="",NA(),IF(OR(C1943="Smelter not listed",C1943="Smelter not yet identified"),MATCH($B1943&amp;$D1943,'Smelter Look-up'!$J:$J,0),MATCH($B1943&amp;$C1943,'Smelter Look-up'!$J:$J,0)))</f>
        <v>#N/A</v>
      </c>
      <c r="X1943" s="219">
        <f t="shared" ca="1" si="274"/>
        <v>0</v>
      </c>
      <c r="AB1943" s="220" t="str">
        <f t="shared" si="275"/>
        <v/>
      </c>
    </row>
    <row r="1944" spans="1:28" s="219" customFormat="1" ht="20.25">
      <c r="A1944" s="174"/>
      <c r="B1944" s="175" t="str">
        <f>IF(LEN(A1944)=0,"",INDEX('Smelter Look-up'!$A:$A,MATCH($A1944,'Smelter Look-up'!$E:$E,0)))</f>
        <v/>
      </c>
      <c r="C1944" s="179" t="str">
        <f>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273"/>
        <v/>
      </c>
      <c r="T1944" s="174" t="str">
        <f ca="1">IF(B1944="","",IF(ISERROR(MATCH($J1944,SorP!$B$1:$B$6279,0)),"",INDIRECT("'SorP'!$A$"&amp;MATCH($S1944&amp;$J1944,SorP!C:C,0))))</f>
        <v/>
      </c>
      <c r="U1944" s="194"/>
      <c r="V1944" s="218" t="e">
        <f>IF(C1944="",NA(),IF(OR(C1944="Smelter not listed",C1944="Smelter not yet identified"),MATCH($B1944&amp;$D1944,'Smelter Look-up'!$J:$J,0),MATCH($B1944&amp;$C1944,'Smelter Look-up'!$J:$J,0)))</f>
        <v>#N/A</v>
      </c>
      <c r="X1944" s="219">
        <f t="shared" ca="1" si="274"/>
        <v>0</v>
      </c>
      <c r="AB1944" s="220" t="str">
        <f t="shared" si="275"/>
        <v/>
      </c>
    </row>
    <row r="1945" spans="1:28" s="219" customFormat="1" ht="20.25">
      <c r="A1945" s="174"/>
      <c r="B1945" s="175" t="str">
        <f>IF(LEN(A1945)=0,"",INDEX('Smelter Look-up'!$A:$A,MATCH($A1945,'Smelter Look-up'!$E:$E,0)))</f>
        <v/>
      </c>
      <c r="C1945" s="179" t="str">
        <f>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273"/>
        <v/>
      </c>
      <c r="T1945" s="174" t="str">
        <f ca="1">IF(B1945="","",IF(ISERROR(MATCH($J1945,SorP!$B$1:$B$6279,0)),"",INDIRECT("'SorP'!$A$"&amp;MATCH($S1945&amp;$J1945,SorP!C:C,0))))</f>
        <v/>
      </c>
      <c r="U1945" s="194"/>
      <c r="V1945" s="218" t="e">
        <f>IF(C1945="",NA(),IF(OR(C1945="Smelter not listed",C1945="Smelter not yet identified"),MATCH($B1945&amp;$D1945,'Smelter Look-up'!$J:$J,0),MATCH($B1945&amp;$C1945,'Smelter Look-up'!$J:$J,0)))</f>
        <v>#N/A</v>
      </c>
      <c r="X1945" s="219">
        <f t="shared" ca="1" si="274"/>
        <v>0</v>
      </c>
      <c r="AB1945" s="220" t="str">
        <f t="shared" si="275"/>
        <v/>
      </c>
    </row>
    <row r="1946" spans="1:28" s="219" customFormat="1" ht="20.25">
      <c r="A1946" s="174"/>
      <c r="B1946" s="175" t="str">
        <f>IF(LEN(A1946)=0,"",INDEX('Smelter Look-up'!$A:$A,MATCH($A1946,'Smelter Look-up'!$E:$E,0)))</f>
        <v/>
      </c>
      <c r="C1946" s="179" t="str">
        <f>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273"/>
        <v/>
      </c>
      <c r="T1946" s="174" t="str">
        <f ca="1">IF(B1946="","",IF(ISERROR(MATCH($J1946,SorP!$B$1:$B$6279,0)),"",INDIRECT("'SorP'!$A$"&amp;MATCH($S1946&amp;$J1946,SorP!C:C,0))))</f>
        <v/>
      </c>
      <c r="U1946" s="194"/>
      <c r="V1946" s="218" t="e">
        <f>IF(C1946="",NA(),IF(OR(C1946="Smelter not listed",C1946="Smelter not yet identified"),MATCH($B1946&amp;$D1946,'Smelter Look-up'!$J:$J,0),MATCH($B1946&amp;$C1946,'Smelter Look-up'!$J:$J,0)))</f>
        <v>#N/A</v>
      </c>
      <c r="X1946" s="219">
        <f t="shared" ca="1" si="274"/>
        <v>0</v>
      </c>
      <c r="AB1946" s="220" t="str">
        <f t="shared" si="275"/>
        <v/>
      </c>
    </row>
    <row r="1947" spans="1:28" s="219" customFormat="1" ht="20.25">
      <c r="A1947" s="174"/>
      <c r="B1947" s="175" t="str">
        <f>IF(LEN(A1947)=0,"",INDEX('Smelter Look-up'!$A:$A,MATCH($A1947,'Smelter Look-up'!$E:$E,0)))</f>
        <v/>
      </c>
      <c r="C1947" s="179" t="str">
        <f>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273"/>
        <v/>
      </c>
      <c r="T1947" s="174" t="str">
        <f ca="1">IF(B1947="","",IF(ISERROR(MATCH($J1947,SorP!$B$1:$B$6279,0)),"",INDIRECT("'SorP'!$A$"&amp;MATCH($S1947&amp;$J1947,SorP!C:C,0))))</f>
        <v/>
      </c>
      <c r="U1947" s="194"/>
      <c r="V1947" s="218" t="e">
        <f>IF(C1947="",NA(),IF(OR(C1947="Smelter not listed",C1947="Smelter not yet identified"),MATCH($B1947&amp;$D1947,'Smelter Look-up'!$J:$J,0),MATCH($B1947&amp;$C1947,'Smelter Look-up'!$J:$J,0)))</f>
        <v>#N/A</v>
      </c>
      <c r="X1947" s="219">
        <f t="shared" ca="1" si="274"/>
        <v>0</v>
      </c>
      <c r="AB1947" s="220" t="str">
        <f t="shared" si="275"/>
        <v/>
      </c>
    </row>
    <row r="1948" spans="1:28" s="219" customFormat="1" ht="20.25">
      <c r="A1948" s="174"/>
      <c r="B1948" s="175" t="str">
        <f>IF(LEN(A1948)=0,"",INDEX('Smelter Look-up'!$A:$A,MATCH($A1948,'Smelter Look-up'!$E:$E,0)))</f>
        <v/>
      </c>
      <c r="C1948" s="179" t="str">
        <f>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ref="S1948:S1978" ca="1" si="276">IF(B1948="","",IF(ISERROR(MATCH($E1948,CL,0)),"Unknown",INDIRECT("'C'!$A$"&amp;MATCH($E1948,CL,0)+1)))</f>
        <v/>
      </c>
      <c r="T1948" s="174" t="str">
        <f ca="1">IF(B1948="","",IF(ISERROR(MATCH($J1948,SorP!$B$1:$B$6279,0)),"",INDIRECT("'SorP'!$A$"&amp;MATCH($S1948&amp;$J1948,SorP!C:C,0))))</f>
        <v/>
      </c>
      <c r="U1948" s="194"/>
      <c r="V1948" s="218" t="e">
        <f>IF(C1948="",NA(),IF(OR(C1948="Smelter not listed",C1948="Smelter not yet identified"),MATCH($B1948&amp;$D1948,'Smelter Look-up'!$J:$J,0),MATCH($B1948&amp;$C1948,'Smelter Look-up'!$J:$J,0)))</f>
        <v>#N/A</v>
      </c>
      <c r="X1948" s="219">
        <f t="shared" ref="X1948:X1978" ca="1" si="277">IF(AND(C1948="Smelter not listed",OR(LEN(D1948)=0,LEN(E1948)=0)),1,0)</f>
        <v>0</v>
      </c>
      <c r="AB1948" s="220" t="str">
        <f t="shared" ref="AB1948:AB1978" si="278">B1948&amp;C1948</f>
        <v/>
      </c>
    </row>
    <row r="1949" spans="1:28" s="219" customFormat="1" ht="20.25">
      <c r="A1949" s="174"/>
      <c r="B1949" s="175" t="str">
        <f>IF(LEN(A1949)=0,"",INDEX('Smelter Look-up'!$A:$A,MATCH($A1949,'Smelter Look-up'!$E:$E,0)))</f>
        <v/>
      </c>
      <c r="C1949" s="179" t="str">
        <f>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276"/>
        <v/>
      </c>
      <c r="T1949" s="174" t="str">
        <f ca="1">IF(B1949="","",IF(ISERROR(MATCH($J1949,SorP!$B$1:$B$6279,0)),"",INDIRECT("'SorP'!$A$"&amp;MATCH($S1949&amp;$J1949,SorP!C:C,0))))</f>
        <v/>
      </c>
      <c r="U1949" s="194"/>
      <c r="V1949" s="218" t="e">
        <f>IF(C1949="",NA(),IF(OR(C1949="Smelter not listed",C1949="Smelter not yet identified"),MATCH($B1949&amp;$D1949,'Smelter Look-up'!$J:$J,0),MATCH($B1949&amp;$C1949,'Smelter Look-up'!$J:$J,0)))</f>
        <v>#N/A</v>
      </c>
      <c r="X1949" s="219">
        <f t="shared" ca="1" si="277"/>
        <v>0</v>
      </c>
      <c r="AB1949" s="220" t="str">
        <f t="shared" si="278"/>
        <v/>
      </c>
    </row>
    <row r="1950" spans="1:28" s="219" customFormat="1" ht="20.25">
      <c r="A1950" s="174"/>
      <c r="B1950" s="175" t="str">
        <f>IF(LEN(A1950)=0,"",INDEX('Smelter Look-up'!$A:$A,MATCH($A1950,'Smelter Look-up'!$E:$E,0)))</f>
        <v/>
      </c>
      <c r="C1950" s="179" t="str">
        <f>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276"/>
        <v/>
      </c>
      <c r="T1950" s="174" t="str">
        <f ca="1">IF(B1950="","",IF(ISERROR(MATCH($J1950,SorP!$B$1:$B$6279,0)),"",INDIRECT("'SorP'!$A$"&amp;MATCH($S1950&amp;$J1950,SorP!C:C,0))))</f>
        <v/>
      </c>
      <c r="U1950" s="194"/>
      <c r="V1950" s="218" t="e">
        <f>IF(C1950="",NA(),IF(OR(C1950="Smelter not listed",C1950="Smelter not yet identified"),MATCH($B1950&amp;$D1950,'Smelter Look-up'!$J:$J,0),MATCH($B1950&amp;$C1950,'Smelter Look-up'!$J:$J,0)))</f>
        <v>#N/A</v>
      </c>
      <c r="X1950" s="219">
        <f t="shared" ca="1" si="277"/>
        <v>0</v>
      </c>
      <c r="AB1950" s="220" t="str">
        <f t="shared" si="278"/>
        <v/>
      </c>
    </row>
    <row r="1951" spans="1:28" s="219" customFormat="1" ht="20.25">
      <c r="A1951" s="174"/>
      <c r="B1951" s="175" t="str">
        <f>IF(LEN(A1951)=0,"",INDEX('Smelter Look-up'!$A:$A,MATCH($A1951,'Smelter Look-up'!$E:$E,0)))</f>
        <v/>
      </c>
      <c r="C1951" s="179" t="str">
        <f>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276"/>
        <v/>
      </c>
      <c r="T1951" s="174" t="str">
        <f ca="1">IF(B1951="","",IF(ISERROR(MATCH($J1951,SorP!$B$1:$B$6279,0)),"",INDIRECT("'SorP'!$A$"&amp;MATCH($S1951&amp;$J1951,SorP!C:C,0))))</f>
        <v/>
      </c>
      <c r="U1951" s="194"/>
      <c r="V1951" s="218" t="e">
        <f>IF(C1951="",NA(),IF(OR(C1951="Smelter not listed",C1951="Smelter not yet identified"),MATCH($B1951&amp;$D1951,'Smelter Look-up'!$J:$J,0),MATCH($B1951&amp;$C1951,'Smelter Look-up'!$J:$J,0)))</f>
        <v>#N/A</v>
      </c>
      <c r="X1951" s="219">
        <f t="shared" ca="1" si="277"/>
        <v>0</v>
      </c>
      <c r="AB1951" s="220" t="str">
        <f t="shared" si="278"/>
        <v/>
      </c>
    </row>
    <row r="1952" spans="1:28" s="219" customFormat="1" ht="20.25">
      <c r="A1952" s="174"/>
      <c r="B1952" s="175" t="str">
        <f>IF(LEN(A1952)=0,"",INDEX('Smelter Look-up'!$A:$A,MATCH($A1952,'Smelter Look-up'!$E:$E,0)))</f>
        <v/>
      </c>
      <c r="C1952" s="179" t="str">
        <f>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276"/>
        <v/>
      </c>
      <c r="T1952" s="174" t="str">
        <f ca="1">IF(B1952="","",IF(ISERROR(MATCH($J1952,SorP!$B$1:$B$6279,0)),"",INDIRECT("'SorP'!$A$"&amp;MATCH($S1952&amp;$J1952,SorP!C:C,0))))</f>
        <v/>
      </c>
      <c r="U1952" s="194"/>
      <c r="V1952" s="218" t="e">
        <f>IF(C1952="",NA(),IF(OR(C1952="Smelter not listed",C1952="Smelter not yet identified"),MATCH($B1952&amp;$D1952,'Smelter Look-up'!$J:$J,0),MATCH($B1952&amp;$C1952,'Smelter Look-up'!$J:$J,0)))</f>
        <v>#N/A</v>
      </c>
      <c r="X1952" s="219">
        <f t="shared" ca="1" si="277"/>
        <v>0</v>
      </c>
      <c r="AB1952" s="220" t="str">
        <f t="shared" si="278"/>
        <v/>
      </c>
    </row>
    <row r="1953" spans="1:28" s="219" customFormat="1" ht="20.25">
      <c r="A1953" s="174"/>
      <c r="B1953" s="175" t="str">
        <f>IF(LEN(A1953)=0,"",INDEX('Smelter Look-up'!$A:$A,MATCH($A1953,'Smelter Look-up'!$E:$E,0)))</f>
        <v/>
      </c>
      <c r="C1953" s="179" t="str">
        <f>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276"/>
        <v/>
      </c>
      <c r="T1953" s="174" t="str">
        <f ca="1">IF(B1953="","",IF(ISERROR(MATCH($J1953,SorP!$B$1:$B$6279,0)),"",INDIRECT("'SorP'!$A$"&amp;MATCH($S1953&amp;$J1953,SorP!C:C,0))))</f>
        <v/>
      </c>
      <c r="U1953" s="194"/>
      <c r="V1953" s="218" t="e">
        <f>IF(C1953="",NA(),IF(OR(C1953="Smelter not listed",C1953="Smelter not yet identified"),MATCH($B1953&amp;$D1953,'Smelter Look-up'!$J:$J,0),MATCH($B1953&amp;$C1953,'Smelter Look-up'!$J:$J,0)))</f>
        <v>#N/A</v>
      </c>
      <c r="X1953" s="219">
        <f t="shared" ca="1" si="277"/>
        <v>0</v>
      </c>
      <c r="AB1953" s="220" t="str">
        <f t="shared" si="278"/>
        <v/>
      </c>
    </row>
    <row r="1954" spans="1:28" s="219" customFormat="1" ht="20.25">
      <c r="A1954" s="174"/>
      <c r="B1954" s="175" t="str">
        <f>IF(LEN(A1954)=0,"",INDEX('Smelter Look-up'!$A:$A,MATCH($A1954,'Smelter Look-up'!$E:$E,0)))</f>
        <v/>
      </c>
      <c r="C1954" s="179" t="str">
        <f>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276"/>
        <v/>
      </c>
      <c r="T1954" s="174" t="str">
        <f ca="1">IF(B1954="","",IF(ISERROR(MATCH($J1954,SorP!$B$1:$B$6279,0)),"",INDIRECT("'SorP'!$A$"&amp;MATCH($S1954&amp;$J1954,SorP!C:C,0))))</f>
        <v/>
      </c>
      <c r="U1954" s="194"/>
      <c r="V1954" s="218" t="e">
        <f>IF(C1954="",NA(),IF(OR(C1954="Smelter not listed",C1954="Smelter not yet identified"),MATCH($B1954&amp;$D1954,'Smelter Look-up'!$J:$J,0),MATCH($B1954&amp;$C1954,'Smelter Look-up'!$J:$J,0)))</f>
        <v>#N/A</v>
      </c>
      <c r="X1954" s="219">
        <f t="shared" ca="1" si="277"/>
        <v>0</v>
      </c>
      <c r="AB1954" s="220" t="str">
        <f t="shared" si="278"/>
        <v/>
      </c>
    </row>
    <row r="1955" spans="1:28" s="219" customFormat="1" ht="20.25">
      <c r="A1955" s="174"/>
      <c r="B1955" s="175" t="str">
        <f>IF(LEN(A1955)=0,"",INDEX('Smelter Look-up'!$A:$A,MATCH($A1955,'Smelter Look-up'!$E:$E,0)))</f>
        <v/>
      </c>
      <c r="C1955" s="179" t="str">
        <f>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276"/>
        <v/>
      </c>
      <c r="T1955" s="174" t="str">
        <f ca="1">IF(B1955="","",IF(ISERROR(MATCH($J1955,SorP!$B$1:$B$6279,0)),"",INDIRECT("'SorP'!$A$"&amp;MATCH($S1955&amp;$J1955,SorP!C:C,0))))</f>
        <v/>
      </c>
      <c r="U1955" s="194"/>
      <c r="V1955" s="218" t="e">
        <f>IF(C1955="",NA(),IF(OR(C1955="Smelter not listed",C1955="Smelter not yet identified"),MATCH($B1955&amp;$D1955,'Smelter Look-up'!$J:$J,0),MATCH($B1955&amp;$C1955,'Smelter Look-up'!$J:$J,0)))</f>
        <v>#N/A</v>
      </c>
      <c r="X1955" s="219">
        <f t="shared" ca="1" si="277"/>
        <v>0</v>
      </c>
      <c r="AB1955" s="220" t="str">
        <f t="shared" si="278"/>
        <v/>
      </c>
    </row>
    <row r="1956" spans="1:28" s="219" customFormat="1" ht="20.25">
      <c r="A1956" s="174"/>
      <c r="B1956" s="175" t="str">
        <f>IF(LEN(A1956)=0,"",INDEX('Smelter Look-up'!$A:$A,MATCH($A1956,'Smelter Look-up'!$E:$E,0)))</f>
        <v/>
      </c>
      <c r="C1956" s="179" t="str">
        <f>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276"/>
        <v/>
      </c>
      <c r="T1956" s="174" t="str">
        <f ca="1">IF(B1956="","",IF(ISERROR(MATCH($J1956,SorP!$B$1:$B$6279,0)),"",INDIRECT("'SorP'!$A$"&amp;MATCH($S1956&amp;$J1956,SorP!C:C,0))))</f>
        <v/>
      </c>
      <c r="U1956" s="194"/>
      <c r="V1956" s="218" t="e">
        <f>IF(C1956="",NA(),IF(OR(C1956="Smelter not listed",C1956="Smelter not yet identified"),MATCH($B1956&amp;$D1956,'Smelter Look-up'!$J:$J,0),MATCH($B1956&amp;$C1956,'Smelter Look-up'!$J:$J,0)))</f>
        <v>#N/A</v>
      </c>
      <c r="X1956" s="219">
        <f t="shared" ca="1" si="277"/>
        <v>0</v>
      </c>
      <c r="AB1956" s="220" t="str">
        <f t="shared" si="278"/>
        <v/>
      </c>
    </row>
    <row r="1957" spans="1:28" s="219" customFormat="1" ht="20.25">
      <c r="A1957" s="174"/>
      <c r="B1957" s="175" t="str">
        <f>IF(LEN(A1957)=0,"",INDEX('Smelter Look-up'!$A:$A,MATCH($A1957,'Smelter Look-up'!$E:$E,0)))</f>
        <v/>
      </c>
      <c r="C1957" s="179" t="str">
        <f>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276"/>
        <v/>
      </c>
      <c r="T1957" s="174" t="str">
        <f ca="1">IF(B1957="","",IF(ISERROR(MATCH($J1957,SorP!$B$1:$B$6279,0)),"",INDIRECT("'SorP'!$A$"&amp;MATCH($S1957&amp;$J1957,SorP!C:C,0))))</f>
        <v/>
      </c>
      <c r="U1957" s="194"/>
      <c r="V1957" s="218" t="e">
        <f>IF(C1957="",NA(),IF(OR(C1957="Smelter not listed",C1957="Smelter not yet identified"),MATCH($B1957&amp;$D1957,'Smelter Look-up'!$J:$J,0),MATCH($B1957&amp;$C1957,'Smelter Look-up'!$J:$J,0)))</f>
        <v>#N/A</v>
      </c>
      <c r="X1957" s="219">
        <f t="shared" ca="1" si="277"/>
        <v>0</v>
      </c>
      <c r="AB1957" s="220" t="str">
        <f t="shared" si="278"/>
        <v/>
      </c>
    </row>
    <row r="1958" spans="1:28" s="219" customFormat="1" ht="20.25">
      <c r="A1958" s="174"/>
      <c r="B1958" s="175" t="str">
        <f>IF(LEN(A1958)=0,"",INDEX('Smelter Look-up'!$A:$A,MATCH($A1958,'Smelter Look-up'!$E:$E,0)))</f>
        <v/>
      </c>
      <c r="C1958" s="179" t="str">
        <f>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276"/>
        <v/>
      </c>
      <c r="T1958" s="174" t="str">
        <f ca="1">IF(B1958="","",IF(ISERROR(MATCH($J1958,SorP!$B$1:$B$6279,0)),"",INDIRECT("'SorP'!$A$"&amp;MATCH($S1958&amp;$J1958,SorP!C:C,0))))</f>
        <v/>
      </c>
      <c r="U1958" s="194"/>
      <c r="V1958" s="218" t="e">
        <f>IF(C1958="",NA(),IF(OR(C1958="Smelter not listed",C1958="Smelter not yet identified"),MATCH($B1958&amp;$D1958,'Smelter Look-up'!$J:$J,0),MATCH($B1958&amp;$C1958,'Smelter Look-up'!$J:$J,0)))</f>
        <v>#N/A</v>
      </c>
      <c r="X1958" s="219">
        <f t="shared" ca="1" si="277"/>
        <v>0</v>
      </c>
      <c r="AB1958" s="220" t="str">
        <f t="shared" si="278"/>
        <v/>
      </c>
    </row>
    <row r="1959" spans="1:28" s="219" customFormat="1" ht="20.25">
      <c r="A1959" s="174"/>
      <c r="B1959" s="175" t="str">
        <f>IF(LEN(A1959)=0,"",INDEX('Smelter Look-up'!$A:$A,MATCH($A1959,'Smelter Look-up'!$E:$E,0)))</f>
        <v/>
      </c>
      <c r="C1959" s="179" t="str">
        <f>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276"/>
        <v/>
      </c>
      <c r="T1959" s="174" t="str">
        <f ca="1">IF(B1959="","",IF(ISERROR(MATCH($J1959,SorP!$B$1:$B$6279,0)),"",INDIRECT("'SorP'!$A$"&amp;MATCH($S1959&amp;$J1959,SorP!C:C,0))))</f>
        <v/>
      </c>
      <c r="U1959" s="194"/>
      <c r="V1959" s="218" t="e">
        <f>IF(C1959="",NA(),IF(OR(C1959="Smelter not listed",C1959="Smelter not yet identified"),MATCH($B1959&amp;$D1959,'Smelter Look-up'!$J:$J,0),MATCH($B1959&amp;$C1959,'Smelter Look-up'!$J:$J,0)))</f>
        <v>#N/A</v>
      </c>
      <c r="X1959" s="219">
        <f t="shared" ca="1" si="277"/>
        <v>0</v>
      </c>
      <c r="AB1959" s="220" t="str">
        <f t="shared" si="278"/>
        <v/>
      </c>
    </row>
    <row r="1960" spans="1:28" s="219" customFormat="1" ht="20.25">
      <c r="A1960" s="174"/>
      <c r="B1960" s="175" t="str">
        <f>IF(LEN(A1960)=0,"",INDEX('Smelter Look-up'!$A:$A,MATCH($A1960,'Smelter Look-up'!$E:$E,0)))</f>
        <v/>
      </c>
      <c r="C1960" s="179" t="str">
        <f>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276"/>
        <v/>
      </c>
      <c r="T1960" s="174" t="str">
        <f ca="1">IF(B1960="","",IF(ISERROR(MATCH($J1960,SorP!$B$1:$B$6279,0)),"",INDIRECT("'SorP'!$A$"&amp;MATCH($S1960&amp;$J1960,SorP!C:C,0))))</f>
        <v/>
      </c>
      <c r="U1960" s="194"/>
      <c r="V1960" s="218" t="e">
        <f>IF(C1960="",NA(),IF(OR(C1960="Smelter not listed",C1960="Smelter not yet identified"),MATCH($B1960&amp;$D1960,'Smelter Look-up'!$J:$J,0),MATCH($B1960&amp;$C1960,'Smelter Look-up'!$J:$J,0)))</f>
        <v>#N/A</v>
      </c>
      <c r="X1960" s="219">
        <f t="shared" ca="1" si="277"/>
        <v>0</v>
      </c>
      <c r="AB1960" s="220" t="str">
        <f t="shared" si="278"/>
        <v/>
      </c>
    </row>
    <row r="1961" spans="1:28" s="219" customFormat="1" ht="20.25">
      <c r="A1961" s="174"/>
      <c r="B1961" s="175" t="str">
        <f>IF(LEN(A1961)=0,"",INDEX('Smelter Look-up'!$A:$A,MATCH($A1961,'Smelter Look-up'!$E:$E,0)))</f>
        <v/>
      </c>
      <c r="C1961" s="179" t="str">
        <f>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276"/>
        <v/>
      </c>
      <c r="T1961" s="174" t="str">
        <f ca="1">IF(B1961="","",IF(ISERROR(MATCH($J1961,SorP!$B$1:$B$6279,0)),"",INDIRECT("'SorP'!$A$"&amp;MATCH($S1961&amp;$J1961,SorP!C:C,0))))</f>
        <v/>
      </c>
      <c r="U1961" s="194"/>
      <c r="V1961" s="218" t="e">
        <f>IF(C1961="",NA(),IF(OR(C1961="Smelter not listed",C1961="Smelter not yet identified"),MATCH($B1961&amp;$D1961,'Smelter Look-up'!$J:$J,0),MATCH($B1961&amp;$C1961,'Smelter Look-up'!$J:$J,0)))</f>
        <v>#N/A</v>
      </c>
      <c r="X1961" s="219">
        <f t="shared" ca="1" si="277"/>
        <v>0</v>
      </c>
      <c r="AB1961" s="220" t="str">
        <f t="shared" si="278"/>
        <v/>
      </c>
    </row>
    <row r="1962" spans="1:28" s="219" customFormat="1" ht="20.25">
      <c r="A1962" s="174"/>
      <c r="B1962" s="175" t="str">
        <f>IF(LEN(A1962)=0,"",INDEX('Smelter Look-up'!$A:$A,MATCH($A1962,'Smelter Look-up'!$E:$E,0)))</f>
        <v/>
      </c>
      <c r="C1962" s="179" t="str">
        <f>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276"/>
        <v/>
      </c>
      <c r="T1962" s="174" t="str">
        <f ca="1">IF(B1962="","",IF(ISERROR(MATCH($J1962,SorP!$B$1:$B$6279,0)),"",INDIRECT("'SorP'!$A$"&amp;MATCH($S1962&amp;$J1962,SorP!C:C,0))))</f>
        <v/>
      </c>
      <c r="U1962" s="194"/>
      <c r="V1962" s="218" t="e">
        <f>IF(C1962="",NA(),IF(OR(C1962="Smelter not listed",C1962="Smelter not yet identified"),MATCH($B1962&amp;$D1962,'Smelter Look-up'!$J:$J,0),MATCH($B1962&amp;$C1962,'Smelter Look-up'!$J:$J,0)))</f>
        <v>#N/A</v>
      </c>
      <c r="X1962" s="219">
        <f t="shared" ca="1" si="277"/>
        <v>0</v>
      </c>
      <c r="AB1962" s="220" t="str">
        <f t="shared" si="278"/>
        <v/>
      </c>
    </row>
    <row r="1963" spans="1:28" s="219" customFormat="1" ht="20.25">
      <c r="A1963" s="174"/>
      <c r="B1963" s="175" t="str">
        <f>IF(LEN(A1963)=0,"",INDEX('Smelter Look-up'!$A:$A,MATCH($A1963,'Smelter Look-up'!$E:$E,0)))</f>
        <v/>
      </c>
      <c r="C1963" s="179" t="str">
        <f>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276"/>
        <v/>
      </c>
      <c r="T1963" s="174" t="str">
        <f ca="1">IF(B1963="","",IF(ISERROR(MATCH($J1963,SorP!$B$1:$B$6279,0)),"",INDIRECT("'SorP'!$A$"&amp;MATCH($S1963&amp;$J1963,SorP!C:C,0))))</f>
        <v/>
      </c>
      <c r="U1963" s="194"/>
      <c r="V1963" s="218" t="e">
        <f>IF(C1963="",NA(),IF(OR(C1963="Smelter not listed",C1963="Smelter not yet identified"),MATCH($B1963&amp;$D1963,'Smelter Look-up'!$J:$J,0),MATCH($B1963&amp;$C1963,'Smelter Look-up'!$J:$J,0)))</f>
        <v>#N/A</v>
      </c>
      <c r="X1963" s="219">
        <f t="shared" ca="1" si="277"/>
        <v>0</v>
      </c>
      <c r="AB1963" s="220" t="str">
        <f t="shared" si="278"/>
        <v/>
      </c>
    </row>
    <row r="1964" spans="1:28" s="219" customFormat="1" ht="20.25">
      <c r="A1964" s="174"/>
      <c r="B1964" s="175" t="str">
        <f>IF(LEN(A1964)=0,"",INDEX('Smelter Look-up'!$A:$A,MATCH($A1964,'Smelter Look-up'!$E:$E,0)))</f>
        <v/>
      </c>
      <c r="C1964" s="179" t="str">
        <f>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276"/>
        <v/>
      </c>
      <c r="T1964" s="174" t="str">
        <f ca="1">IF(B1964="","",IF(ISERROR(MATCH($J1964,SorP!$B$1:$B$6279,0)),"",INDIRECT("'SorP'!$A$"&amp;MATCH($S1964&amp;$J1964,SorP!C:C,0))))</f>
        <v/>
      </c>
      <c r="U1964" s="194"/>
      <c r="V1964" s="218" t="e">
        <f>IF(C1964="",NA(),IF(OR(C1964="Smelter not listed",C1964="Smelter not yet identified"),MATCH($B1964&amp;$D1964,'Smelter Look-up'!$J:$J,0),MATCH($B1964&amp;$C1964,'Smelter Look-up'!$J:$J,0)))</f>
        <v>#N/A</v>
      </c>
      <c r="X1964" s="219">
        <f t="shared" ca="1" si="277"/>
        <v>0</v>
      </c>
      <c r="AB1964" s="220" t="str">
        <f t="shared" si="278"/>
        <v/>
      </c>
    </row>
    <row r="1965" spans="1:28" s="219" customFormat="1" ht="20.25">
      <c r="A1965" s="174"/>
      <c r="B1965" s="175" t="str">
        <f>IF(LEN(A1965)=0,"",INDEX('Smelter Look-up'!$A:$A,MATCH($A1965,'Smelter Look-up'!$E:$E,0)))</f>
        <v/>
      </c>
      <c r="C1965" s="179" t="str">
        <f>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276"/>
        <v/>
      </c>
      <c r="T1965" s="174" t="str">
        <f ca="1">IF(B1965="","",IF(ISERROR(MATCH($J1965,SorP!$B$1:$B$6279,0)),"",INDIRECT("'SorP'!$A$"&amp;MATCH($S1965&amp;$J1965,SorP!C:C,0))))</f>
        <v/>
      </c>
      <c r="U1965" s="194"/>
      <c r="V1965" s="218" t="e">
        <f>IF(C1965="",NA(),IF(OR(C1965="Smelter not listed",C1965="Smelter not yet identified"),MATCH($B1965&amp;$D1965,'Smelter Look-up'!$J:$J,0),MATCH($B1965&amp;$C1965,'Smelter Look-up'!$J:$J,0)))</f>
        <v>#N/A</v>
      </c>
      <c r="X1965" s="219">
        <f t="shared" ca="1" si="277"/>
        <v>0</v>
      </c>
      <c r="AB1965" s="220" t="str">
        <f t="shared" si="278"/>
        <v/>
      </c>
    </row>
    <row r="1966" spans="1:28" s="219" customFormat="1" ht="20.25">
      <c r="A1966" s="174"/>
      <c r="B1966" s="175" t="str">
        <f>IF(LEN(A1966)=0,"",INDEX('Smelter Look-up'!$A:$A,MATCH($A1966,'Smelter Look-up'!$E:$E,0)))</f>
        <v/>
      </c>
      <c r="C1966" s="179" t="str">
        <f>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276"/>
        <v/>
      </c>
      <c r="T1966" s="174" t="str">
        <f ca="1">IF(B1966="","",IF(ISERROR(MATCH($J1966,SorP!$B$1:$B$6279,0)),"",INDIRECT("'SorP'!$A$"&amp;MATCH($S1966&amp;$J1966,SorP!C:C,0))))</f>
        <v/>
      </c>
      <c r="U1966" s="194"/>
      <c r="V1966" s="218" t="e">
        <f>IF(C1966="",NA(),IF(OR(C1966="Smelter not listed",C1966="Smelter not yet identified"),MATCH($B1966&amp;$D1966,'Smelter Look-up'!$J:$J,0),MATCH($B1966&amp;$C1966,'Smelter Look-up'!$J:$J,0)))</f>
        <v>#N/A</v>
      </c>
      <c r="X1966" s="219">
        <f t="shared" ca="1" si="277"/>
        <v>0</v>
      </c>
      <c r="AB1966" s="220" t="str">
        <f t="shared" si="278"/>
        <v/>
      </c>
    </row>
    <row r="1967" spans="1:28" s="219" customFormat="1" ht="20.25">
      <c r="A1967" s="174"/>
      <c r="B1967" s="175" t="str">
        <f>IF(LEN(A1967)=0,"",INDEX('Smelter Look-up'!$A:$A,MATCH($A1967,'Smelter Look-up'!$E:$E,0)))</f>
        <v/>
      </c>
      <c r="C1967" s="179" t="str">
        <f>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276"/>
        <v/>
      </c>
      <c r="T1967" s="174" t="str">
        <f ca="1">IF(B1967="","",IF(ISERROR(MATCH($J1967,SorP!$B$1:$B$6279,0)),"",INDIRECT("'SorP'!$A$"&amp;MATCH($S1967&amp;$J1967,SorP!C:C,0))))</f>
        <v/>
      </c>
      <c r="U1967" s="194"/>
      <c r="V1967" s="218" t="e">
        <f>IF(C1967="",NA(),IF(OR(C1967="Smelter not listed",C1967="Smelter not yet identified"),MATCH($B1967&amp;$D1967,'Smelter Look-up'!$J:$J,0),MATCH($B1967&amp;$C1967,'Smelter Look-up'!$J:$J,0)))</f>
        <v>#N/A</v>
      </c>
      <c r="X1967" s="219">
        <f t="shared" ca="1" si="277"/>
        <v>0</v>
      </c>
      <c r="AB1967" s="220" t="str">
        <f t="shared" si="278"/>
        <v/>
      </c>
    </row>
    <row r="1968" spans="1:28" s="219" customFormat="1" ht="20.25">
      <c r="A1968" s="174"/>
      <c r="B1968" s="175" t="str">
        <f>IF(LEN(A1968)=0,"",INDEX('Smelter Look-up'!$A:$A,MATCH($A1968,'Smelter Look-up'!$E:$E,0)))</f>
        <v/>
      </c>
      <c r="C1968" s="179" t="str">
        <f>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276"/>
        <v/>
      </c>
      <c r="T1968" s="174" t="str">
        <f ca="1">IF(B1968="","",IF(ISERROR(MATCH($J1968,SorP!$B$1:$B$6279,0)),"",INDIRECT("'SorP'!$A$"&amp;MATCH($S1968&amp;$J1968,SorP!C:C,0))))</f>
        <v/>
      </c>
      <c r="U1968" s="194"/>
      <c r="V1968" s="218" t="e">
        <f>IF(C1968="",NA(),IF(OR(C1968="Smelter not listed",C1968="Smelter not yet identified"),MATCH($B1968&amp;$D1968,'Smelter Look-up'!$J:$J,0),MATCH($B1968&amp;$C1968,'Smelter Look-up'!$J:$J,0)))</f>
        <v>#N/A</v>
      </c>
      <c r="X1968" s="219">
        <f t="shared" ca="1" si="277"/>
        <v>0</v>
      </c>
      <c r="AB1968" s="220" t="str">
        <f t="shared" si="278"/>
        <v/>
      </c>
    </row>
    <row r="1969" spans="1:28" s="219" customFormat="1" ht="20.25">
      <c r="A1969" s="174"/>
      <c r="B1969" s="175" t="str">
        <f>IF(LEN(A1969)=0,"",INDEX('Smelter Look-up'!$A:$A,MATCH($A1969,'Smelter Look-up'!$E:$E,0)))</f>
        <v/>
      </c>
      <c r="C1969" s="179" t="str">
        <f>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276"/>
        <v/>
      </c>
      <c r="T1969" s="174" t="str">
        <f ca="1">IF(B1969="","",IF(ISERROR(MATCH($J1969,SorP!$B$1:$B$6279,0)),"",INDIRECT("'SorP'!$A$"&amp;MATCH($S1969&amp;$J1969,SorP!C:C,0))))</f>
        <v/>
      </c>
      <c r="U1969" s="194"/>
      <c r="V1969" s="218" t="e">
        <f>IF(C1969="",NA(),IF(OR(C1969="Smelter not listed",C1969="Smelter not yet identified"),MATCH($B1969&amp;$D1969,'Smelter Look-up'!$J:$J,0),MATCH($B1969&amp;$C1969,'Smelter Look-up'!$J:$J,0)))</f>
        <v>#N/A</v>
      </c>
      <c r="X1969" s="219">
        <f t="shared" ca="1" si="277"/>
        <v>0</v>
      </c>
      <c r="AB1969" s="220" t="str">
        <f t="shared" si="278"/>
        <v/>
      </c>
    </row>
    <row r="1970" spans="1:28" s="219" customFormat="1" ht="20.25">
      <c r="A1970" s="174"/>
      <c r="B1970" s="175" t="str">
        <f>IF(LEN(A1970)=0,"",INDEX('Smelter Look-up'!$A:$A,MATCH($A1970,'Smelter Look-up'!$E:$E,0)))</f>
        <v/>
      </c>
      <c r="C1970" s="179" t="str">
        <f>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276"/>
        <v/>
      </c>
      <c r="T1970" s="174" t="str">
        <f ca="1">IF(B1970="","",IF(ISERROR(MATCH($J1970,SorP!$B$1:$B$6279,0)),"",INDIRECT("'SorP'!$A$"&amp;MATCH($S1970&amp;$J1970,SorP!C:C,0))))</f>
        <v/>
      </c>
      <c r="U1970" s="194"/>
      <c r="V1970" s="218" t="e">
        <f>IF(C1970="",NA(),IF(OR(C1970="Smelter not listed",C1970="Smelter not yet identified"),MATCH($B1970&amp;$D1970,'Smelter Look-up'!$J:$J,0),MATCH($B1970&amp;$C1970,'Smelter Look-up'!$J:$J,0)))</f>
        <v>#N/A</v>
      </c>
      <c r="X1970" s="219">
        <f t="shared" ca="1" si="277"/>
        <v>0</v>
      </c>
      <c r="AB1970" s="220" t="str">
        <f t="shared" si="278"/>
        <v/>
      </c>
    </row>
    <row r="1971" spans="1:28" s="219" customFormat="1" ht="20.25">
      <c r="A1971" s="174"/>
      <c r="B1971" s="175" t="str">
        <f>IF(LEN(A1971)=0,"",INDEX('Smelter Look-up'!$A:$A,MATCH($A1971,'Smelter Look-up'!$E:$E,0)))</f>
        <v/>
      </c>
      <c r="C1971" s="179" t="str">
        <f>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276"/>
        <v/>
      </c>
      <c r="T1971" s="174" t="str">
        <f ca="1">IF(B1971="","",IF(ISERROR(MATCH($J1971,SorP!$B$1:$B$6279,0)),"",INDIRECT("'SorP'!$A$"&amp;MATCH($S1971&amp;$J1971,SorP!C:C,0))))</f>
        <v/>
      </c>
      <c r="U1971" s="194"/>
      <c r="V1971" s="218" t="e">
        <f>IF(C1971="",NA(),IF(OR(C1971="Smelter not listed",C1971="Smelter not yet identified"),MATCH($B1971&amp;$D1971,'Smelter Look-up'!$J:$J,0),MATCH($B1971&amp;$C1971,'Smelter Look-up'!$J:$J,0)))</f>
        <v>#N/A</v>
      </c>
      <c r="X1971" s="219">
        <f t="shared" ca="1" si="277"/>
        <v>0</v>
      </c>
      <c r="AB1971" s="220" t="str">
        <f t="shared" si="278"/>
        <v/>
      </c>
    </row>
    <row r="1972" spans="1:28" s="219" customFormat="1" ht="20.25">
      <c r="A1972" s="174"/>
      <c r="B1972" s="175" t="str">
        <f>IF(LEN(A1972)=0,"",INDEX('Smelter Look-up'!$A:$A,MATCH($A1972,'Smelter Look-up'!$E:$E,0)))</f>
        <v/>
      </c>
      <c r="C1972" s="179" t="str">
        <f>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276"/>
        <v/>
      </c>
      <c r="T1972" s="174" t="str">
        <f ca="1">IF(B1972="","",IF(ISERROR(MATCH($J1972,SorP!$B$1:$B$6279,0)),"",INDIRECT("'SorP'!$A$"&amp;MATCH($S1972&amp;$J1972,SorP!C:C,0))))</f>
        <v/>
      </c>
      <c r="U1972" s="194"/>
      <c r="V1972" s="218" t="e">
        <f>IF(C1972="",NA(),IF(OR(C1972="Smelter not listed",C1972="Smelter not yet identified"),MATCH($B1972&amp;$D1972,'Smelter Look-up'!$J:$J,0),MATCH($B1972&amp;$C1972,'Smelter Look-up'!$J:$J,0)))</f>
        <v>#N/A</v>
      </c>
      <c r="X1972" s="219">
        <f t="shared" ca="1" si="277"/>
        <v>0</v>
      </c>
      <c r="AB1972" s="220" t="str">
        <f t="shared" si="278"/>
        <v/>
      </c>
    </row>
    <row r="1973" spans="1:28" s="219" customFormat="1" ht="20.25">
      <c r="A1973" s="174"/>
      <c r="B1973" s="175" t="str">
        <f>IF(LEN(A1973)=0,"",INDEX('Smelter Look-up'!$A:$A,MATCH($A1973,'Smelter Look-up'!$E:$E,0)))</f>
        <v/>
      </c>
      <c r="C1973" s="179" t="str">
        <f>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276"/>
        <v/>
      </c>
      <c r="T1973" s="174" t="str">
        <f ca="1">IF(B1973="","",IF(ISERROR(MATCH($J1973,SorP!$B$1:$B$6279,0)),"",INDIRECT("'SorP'!$A$"&amp;MATCH($S1973&amp;$J1973,SorP!C:C,0))))</f>
        <v/>
      </c>
      <c r="U1973" s="194"/>
      <c r="V1973" s="218" t="e">
        <f>IF(C1973="",NA(),IF(OR(C1973="Smelter not listed",C1973="Smelter not yet identified"),MATCH($B1973&amp;$D1973,'Smelter Look-up'!$J:$J,0),MATCH($B1973&amp;$C1973,'Smelter Look-up'!$J:$J,0)))</f>
        <v>#N/A</v>
      </c>
      <c r="X1973" s="219">
        <f t="shared" ca="1" si="277"/>
        <v>0</v>
      </c>
      <c r="AB1973" s="220" t="str">
        <f t="shared" si="278"/>
        <v/>
      </c>
    </row>
    <row r="1974" spans="1:28" s="219" customFormat="1" ht="20.25">
      <c r="A1974" s="174"/>
      <c r="B1974" s="175" t="str">
        <f>IF(LEN(A1974)=0,"",INDEX('Smelter Look-up'!$A:$A,MATCH($A1974,'Smelter Look-up'!$E:$E,0)))</f>
        <v/>
      </c>
      <c r="C1974" s="179" t="str">
        <f>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276"/>
        <v/>
      </c>
      <c r="T1974" s="174" t="str">
        <f ca="1">IF(B1974="","",IF(ISERROR(MATCH($J1974,SorP!$B$1:$B$6279,0)),"",INDIRECT("'SorP'!$A$"&amp;MATCH($S1974&amp;$J1974,SorP!C:C,0))))</f>
        <v/>
      </c>
      <c r="U1974" s="194"/>
      <c r="V1974" s="218" t="e">
        <f>IF(C1974="",NA(),IF(OR(C1974="Smelter not listed",C1974="Smelter not yet identified"),MATCH($B1974&amp;$D1974,'Smelter Look-up'!$J:$J,0),MATCH($B1974&amp;$C1974,'Smelter Look-up'!$J:$J,0)))</f>
        <v>#N/A</v>
      </c>
      <c r="X1974" s="219">
        <f t="shared" ca="1" si="277"/>
        <v>0</v>
      </c>
      <c r="AB1974" s="220" t="str">
        <f t="shared" si="278"/>
        <v/>
      </c>
    </row>
    <row r="1975" spans="1:28" s="219" customFormat="1" ht="20.25">
      <c r="A1975" s="174"/>
      <c r="B1975" s="175" t="str">
        <f>IF(LEN(A1975)=0,"",INDEX('Smelter Look-up'!$A:$A,MATCH($A1975,'Smelter Look-up'!$E:$E,0)))</f>
        <v/>
      </c>
      <c r="C1975" s="179" t="str">
        <f>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276"/>
        <v/>
      </c>
      <c r="T1975" s="174" t="str">
        <f ca="1">IF(B1975="","",IF(ISERROR(MATCH($J1975,SorP!$B$1:$B$6279,0)),"",INDIRECT("'SorP'!$A$"&amp;MATCH($S1975&amp;$J1975,SorP!C:C,0))))</f>
        <v/>
      </c>
      <c r="U1975" s="194"/>
      <c r="V1975" s="218" t="e">
        <f>IF(C1975="",NA(),IF(OR(C1975="Smelter not listed",C1975="Smelter not yet identified"),MATCH($B1975&amp;$D1975,'Smelter Look-up'!$J:$J,0),MATCH($B1975&amp;$C1975,'Smelter Look-up'!$J:$J,0)))</f>
        <v>#N/A</v>
      </c>
      <c r="X1975" s="219">
        <f t="shared" ca="1" si="277"/>
        <v>0</v>
      </c>
      <c r="AB1975" s="220" t="str">
        <f t="shared" si="278"/>
        <v/>
      </c>
    </row>
    <row r="1976" spans="1:28" s="219" customFormat="1" ht="20.25">
      <c r="A1976" s="174"/>
      <c r="B1976" s="175" t="str">
        <f>IF(LEN(A1976)=0,"",INDEX('Smelter Look-up'!$A:$A,MATCH($A1976,'Smelter Look-up'!$E:$E,0)))</f>
        <v/>
      </c>
      <c r="C1976" s="179" t="str">
        <f>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276"/>
        <v/>
      </c>
      <c r="T1976" s="174" t="str">
        <f ca="1">IF(B1976="","",IF(ISERROR(MATCH($J1976,SorP!$B$1:$B$6279,0)),"",INDIRECT("'SorP'!$A$"&amp;MATCH($S1976&amp;$J1976,SorP!C:C,0))))</f>
        <v/>
      </c>
      <c r="U1976" s="194"/>
      <c r="V1976" s="218" t="e">
        <f>IF(C1976="",NA(),IF(OR(C1976="Smelter not listed",C1976="Smelter not yet identified"),MATCH($B1976&amp;$D1976,'Smelter Look-up'!$J:$J,0),MATCH($B1976&amp;$C1976,'Smelter Look-up'!$J:$J,0)))</f>
        <v>#N/A</v>
      </c>
      <c r="X1976" s="219">
        <f t="shared" ca="1" si="277"/>
        <v>0</v>
      </c>
      <c r="AB1976" s="220" t="str">
        <f t="shared" si="278"/>
        <v/>
      </c>
    </row>
    <row r="1977" spans="1:28" s="219" customFormat="1" ht="20.25">
      <c r="A1977" s="174"/>
      <c r="B1977" s="175" t="str">
        <f>IF(LEN(A1977)=0,"",INDEX('Smelter Look-up'!$A:$A,MATCH($A1977,'Smelter Look-up'!$E:$E,0)))</f>
        <v/>
      </c>
      <c r="C1977" s="179" t="str">
        <f>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276"/>
        <v/>
      </c>
      <c r="T1977" s="174" t="str">
        <f ca="1">IF(B1977="","",IF(ISERROR(MATCH($J1977,SorP!$B$1:$B$6279,0)),"",INDIRECT("'SorP'!$A$"&amp;MATCH($S1977&amp;$J1977,SorP!C:C,0))))</f>
        <v/>
      </c>
      <c r="U1977" s="194"/>
      <c r="V1977" s="218" t="e">
        <f>IF(C1977="",NA(),IF(OR(C1977="Smelter not listed",C1977="Smelter not yet identified"),MATCH($B1977&amp;$D1977,'Smelter Look-up'!$J:$J,0),MATCH($B1977&amp;$C1977,'Smelter Look-up'!$J:$J,0)))</f>
        <v>#N/A</v>
      </c>
      <c r="X1977" s="219">
        <f t="shared" ca="1" si="277"/>
        <v>0</v>
      </c>
      <c r="AB1977" s="220" t="str">
        <f t="shared" si="278"/>
        <v/>
      </c>
    </row>
    <row r="1978" spans="1:28" s="219" customFormat="1" ht="20.25">
      <c r="A1978" s="174"/>
      <c r="B1978" s="175" t="str">
        <f>IF(LEN(A1978)=0,"",INDEX('Smelter Look-up'!$A:$A,MATCH($A1978,'Smelter Look-up'!$E:$E,0)))</f>
        <v/>
      </c>
      <c r="C1978" s="179" t="str">
        <f>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ca="1" si="276"/>
        <v/>
      </c>
      <c r="T1978" s="174" t="str">
        <f ca="1">IF(B1978="","",IF(ISERROR(MATCH($J1978,SorP!$B$1:$B$6279,0)),"",INDIRECT("'SorP'!$A$"&amp;MATCH($S1978&amp;$J1978,SorP!C:C,0))))</f>
        <v/>
      </c>
      <c r="U1978" s="194"/>
      <c r="V1978" s="218" t="e">
        <f>IF(C1978="",NA(),IF(OR(C1978="Smelter not listed",C1978="Smelter not yet identified"),MATCH($B1978&amp;$D1978,'Smelter Look-up'!$J:$J,0),MATCH($B1978&amp;$C1978,'Smelter Look-up'!$J:$J,0)))</f>
        <v>#N/A</v>
      </c>
      <c r="X1978" s="219">
        <f t="shared" ca="1" si="277"/>
        <v>0</v>
      </c>
      <c r="AB1978" s="220" t="str">
        <f t="shared" si="278"/>
        <v/>
      </c>
    </row>
    <row r="1979" spans="1:28" s="219" customFormat="1" ht="20.25">
      <c r="A1979" s="174"/>
      <c r="B1979" s="175" t="str">
        <f>IF(LEN(A1979)=0,"",INDEX('Smelter Look-up'!$A:$A,MATCH($A1979,'Smelter Look-up'!$E:$E,0)))</f>
        <v/>
      </c>
      <c r="C1979" s="179" t="str">
        <f>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ref="S1979" ca="1" si="279">IF(B1979="","",IF(ISERROR(MATCH($E1979,CL,0)),"Unknown",INDIRECT("'C'!$A$"&amp;MATCH($E1979,CL,0)+1)))</f>
        <v/>
      </c>
      <c r="T1979" s="174" t="str">
        <f ca="1">IF(B1979="","",IF(ISERROR(MATCH($J1979,SorP!$B$1:$B$6279,0)),"",INDIRECT("'SorP'!$A$"&amp;MATCH($S1979&amp;$J1979,SorP!C:C,0))))</f>
        <v/>
      </c>
      <c r="U1979" s="194"/>
      <c r="V1979" s="218" t="e">
        <f>IF(C1979="",NA(),IF(OR(C1979="Smelter not listed",C1979="Smelter not yet identified"),MATCH($B1979&amp;$D1979,'Smelter Look-up'!$J:$J,0),MATCH($B1979&amp;$C1979,'Smelter Look-up'!$J:$J,0)))</f>
        <v>#N/A</v>
      </c>
      <c r="X1979" s="219">
        <f t="shared" ref="X1979" ca="1" si="280">IF(AND(C1979="Smelter not listed",OR(LEN(D1979)=0,LEN(E1979)=0)),1,0)</f>
        <v>0</v>
      </c>
      <c r="AB1979" s="220" t="str">
        <f t="shared" ref="AB1979" si="281">B1979&amp;C1979</f>
        <v/>
      </c>
    </row>
    <row r="1980" spans="1:28" s="219" customFormat="1" ht="20.25">
      <c r="A1980" s="174"/>
      <c r="B1980" s="175" t="str">
        <f>IF(LEN(A1980)=0,"",INDEX('Smelter Look-up'!$A:$A,MATCH($A1980,'Smelter Look-up'!$E:$E,0)))</f>
        <v/>
      </c>
      <c r="C1980" s="179" t="str">
        <f>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ref="S1980:S2011" ca="1" si="282">IF(B1980="","",IF(ISERROR(MATCH($E1980,CL,0)),"Unknown",INDIRECT("'C'!$A$"&amp;MATCH($E1980,CL,0)+1)))</f>
        <v/>
      </c>
      <c r="T1980" s="174" t="str">
        <f ca="1">IF(B1980="","",IF(ISERROR(MATCH($J1980,SorP!$B$1:$B$6279,0)),"",INDIRECT("'SorP'!$A$"&amp;MATCH($S1980&amp;$J1980,SorP!C:C,0))))</f>
        <v/>
      </c>
      <c r="U1980" s="194"/>
      <c r="V1980" s="218" t="e">
        <f>IF(C1980="",NA(),IF(OR(C1980="Smelter not listed",C1980="Smelter not yet identified"),MATCH($B1980&amp;$D1980,'Smelter Look-up'!$J:$J,0),MATCH($B1980&amp;$C1980,'Smelter Look-up'!$J:$J,0)))</f>
        <v>#N/A</v>
      </c>
      <c r="X1980" s="219">
        <f t="shared" ref="X1980:X2011" ca="1" si="283">IF(AND(C1980="Smelter not listed",OR(LEN(D1980)=0,LEN(E1980)=0)),1,0)</f>
        <v>0</v>
      </c>
      <c r="AB1980" s="220" t="str">
        <f t="shared" ref="AB1980:AB2011" si="284">B1980&amp;C1980</f>
        <v/>
      </c>
    </row>
    <row r="1981" spans="1:28" s="219" customFormat="1" ht="20.25">
      <c r="A1981" s="174"/>
      <c r="B1981" s="175" t="str">
        <f>IF(LEN(A1981)=0,"",INDEX('Smelter Look-up'!$A:$A,MATCH($A1981,'Smelter Look-up'!$E:$E,0)))</f>
        <v/>
      </c>
      <c r="C1981" s="179" t="str">
        <f>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282"/>
        <v/>
      </c>
      <c r="T1981" s="174" t="str">
        <f ca="1">IF(B1981="","",IF(ISERROR(MATCH($J1981,SorP!$B$1:$B$6279,0)),"",INDIRECT("'SorP'!$A$"&amp;MATCH($S1981&amp;$J1981,SorP!C:C,0))))</f>
        <v/>
      </c>
      <c r="U1981" s="194"/>
      <c r="V1981" s="218" t="e">
        <f>IF(C1981="",NA(),IF(OR(C1981="Smelter not listed",C1981="Smelter not yet identified"),MATCH($B1981&amp;$D1981,'Smelter Look-up'!$J:$J,0),MATCH($B1981&amp;$C1981,'Smelter Look-up'!$J:$J,0)))</f>
        <v>#N/A</v>
      </c>
      <c r="X1981" s="219">
        <f t="shared" ca="1" si="283"/>
        <v>0</v>
      </c>
      <c r="AB1981" s="220" t="str">
        <f t="shared" si="284"/>
        <v/>
      </c>
    </row>
    <row r="1982" spans="1:28" s="219" customFormat="1" ht="20.25">
      <c r="A1982" s="174"/>
      <c r="B1982" s="175" t="str">
        <f>IF(LEN(A1982)=0,"",INDEX('Smelter Look-up'!$A:$A,MATCH($A1982,'Smelter Look-up'!$E:$E,0)))</f>
        <v/>
      </c>
      <c r="C1982" s="179" t="str">
        <f>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282"/>
        <v/>
      </c>
      <c r="T1982" s="174" t="str">
        <f ca="1">IF(B1982="","",IF(ISERROR(MATCH($J1982,SorP!$B$1:$B$6279,0)),"",INDIRECT("'SorP'!$A$"&amp;MATCH($S1982&amp;$J1982,SorP!C:C,0))))</f>
        <v/>
      </c>
      <c r="U1982" s="194"/>
      <c r="V1982" s="218" t="e">
        <f>IF(C1982="",NA(),IF(OR(C1982="Smelter not listed",C1982="Smelter not yet identified"),MATCH($B1982&amp;$D1982,'Smelter Look-up'!$J:$J,0),MATCH($B1982&amp;$C1982,'Smelter Look-up'!$J:$J,0)))</f>
        <v>#N/A</v>
      </c>
      <c r="X1982" s="219">
        <f t="shared" ca="1" si="283"/>
        <v>0</v>
      </c>
      <c r="AB1982" s="220" t="str">
        <f t="shared" si="284"/>
        <v/>
      </c>
    </row>
    <row r="1983" spans="1:28" s="219" customFormat="1" ht="20.25">
      <c r="A1983" s="174"/>
      <c r="B1983" s="175" t="str">
        <f>IF(LEN(A1983)=0,"",INDEX('Smelter Look-up'!$A:$A,MATCH($A1983,'Smelter Look-up'!$E:$E,0)))</f>
        <v/>
      </c>
      <c r="C1983" s="179" t="str">
        <f>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282"/>
        <v/>
      </c>
      <c r="T1983" s="174" t="str">
        <f ca="1">IF(B1983="","",IF(ISERROR(MATCH($J1983,SorP!$B$1:$B$6279,0)),"",INDIRECT("'SorP'!$A$"&amp;MATCH($S1983&amp;$J1983,SorP!C:C,0))))</f>
        <v/>
      </c>
      <c r="U1983" s="194"/>
      <c r="V1983" s="218" t="e">
        <f>IF(C1983="",NA(),IF(OR(C1983="Smelter not listed",C1983="Smelter not yet identified"),MATCH($B1983&amp;$D1983,'Smelter Look-up'!$J:$J,0),MATCH($B1983&amp;$C1983,'Smelter Look-up'!$J:$J,0)))</f>
        <v>#N/A</v>
      </c>
      <c r="X1983" s="219">
        <f t="shared" ca="1" si="283"/>
        <v>0</v>
      </c>
      <c r="AB1983" s="220" t="str">
        <f t="shared" si="284"/>
        <v/>
      </c>
    </row>
    <row r="1984" spans="1:28" s="219" customFormat="1" ht="20.25">
      <c r="A1984" s="174"/>
      <c r="B1984" s="175" t="str">
        <f>IF(LEN(A1984)=0,"",INDEX('Smelter Look-up'!$A:$A,MATCH($A1984,'Smelter Look-up'!$E:$E,0)))</f>
        <v/>
      </c>
      <c r="C1984" s="179" t="str">
        <f>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282"/>
        <v/>
      </c>
      <c r="T1984" s="174" t="str">
        <f ca="1">IF(B1984="","",IF(ISERROR(MATCH($J1984,SorP!$B$1:$B$6279,0)),"",INDIRECT("'SorP'!$A$"&amp;MATCH($S1984&amp;$J1984,SorP!C:C,0))))</f>
        <v/>
      </c>
      <c r="U1984" s="194"/>
      <c r="V1984" s="218" t="e">
        <f>IF(C1984="",NA(),IF(OR(C1984="Smelter not listed",C1984="Smelter not yet identified"),MATCH($B1984&amp;$D1984,'Smelter Look-up'!$J:$J,0),MATCH($B1984&amp;$C1984,'Smelter Look-up'!$J:$J,0)))</f>
        <v>#N/A</v>
      </c>
      <c r="X1984" s="219">
        <f t="shared" ca="1" si="283"/>
        <v>0</v>
      </c>
      <c r="AB1984" s="220" t="str">
        <f t="shared" si="284"/>
        <v/>
      </c>
    </row>
    <row r="1985" spans="1:28" s="219" customFormat="1" ht="20.25">
      <c r="A1985" s="174"/>
      <c r="B1985" s="175" t="str">
        <f>IF(LEN(A1985)=0,"",INDEX('Smelter Look-up'!$A:$A,MATCH($A1985,'Smelter Look-up'!$E:$E,0)))</f>
        <v/>
      </c>
      <c r="C1985" s="179" t="str">
        <f>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282"/>
        <v/>
      </c>
      <c r="T1985" s="174" t="str">
        <f ca="1">IF(B1985="","",IF(ISERROR(MATCH($J1985,SorP!$B$1:$B$6279,0)),"",INDIRECT("'SorP'!$A$"&amp;MATCH($S1985&amp;$J1985,SorP!C:C,0))))</f>
        <v/>
      </c>
      <c r="U1985" s="194"/>
      <c r="V1985" s="218" t="e">
        <f>IF(C1985="",NA(),IF(OR(C1985="Smelter not listed",C1985="Smelter not yet identified"),MATCH($B1985&amp;$D1985,'Smelter Look-up'!$J:$J,0),MATCH($B1985&amp;$C1985,'Smelter Look-up'!$J:$J,0)))</f>
        <v>#N/A</v>
      </c>
      <c r="X1985" s="219">
        <f t="shared" ca="1" si="283"/>
        <v>0</v>
      </c>
      <c r="AB1985" s="220" t="str">
        <f t="shared" si="284"/>
        <v/>
      </c>
    </row>
    <row r="1986" spans="1:28" s="219" customFormat="1" ht="20.25">
      <c r="A1986" s="174"/>
      <c r="B1986" s="175" t="str">
        <f>IF(LEN(A1986)=0,"",INDEX('Smelter Look-up'!$A:$A,MATCH($A1986,'Smelter Look-up'!$E:$E,0)))</f>
        <v/>
      </c>
      <c r="C1986" s="179" t="str">
        <f>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282"/>
        <v/>
      </c>
      <c r="T1986" s="174" t="str">
        <f ca="1">IF(B1986="","",IF(ISERROR(MATCH($J1986,SorP!$B$1:$B$6279,0)),"",INDIRECT("'SorP'!$A$"&amp;MATCH($S1986&amp;$J1986,SorP!C:C,0))))</f>
        <v/>
      </c>
      <c r="U1986" s="194"/>
      <c r="V1986" s="218" t="e">
        <f>IF(C1986="",NA(),IF(OR(C1986="Smelter not listed",C1986="Smelter not yet identified"),MATCH($B1986&amp;$D1986,'Smelter Look-up'!$J:$J,0),MATCH($B1986&amp;$C1986,'Smelter Look-up'!$J:$J,0)))</f>
        <v>#N/A</v>
      </c>
      <c r="X1986" s="219">
        <f t="shared" ca="1" si="283"/>
        <v>0</v>
      </c>
      <c r="AB1986" s="220" t="str">
        <f t="shared" si="284"/>
        <v/>
      </c>
    </row>
    <row r="1987" spans="1:28" s="219" customFormat="1" ht="20.25">
      <c r="A1987" s="174"/>
      <c r="B1987" s="175" t="str">
        <f>IF(LEN(A1987)=0,"",INDEX('Smelter Look-up'!$A:$A,MATCH($A1987,'Smelter Look-up'!$E:$E,0)))</f>
        <v/>
      </c>
      <c r="C1987" s="179" t="str">
        <f>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282"/>
        <v/>
      </c>
      <c r="T1987" s="174" t="str">
        <f ca="1">IF(B1987="","",IF(ISERROR(MATCH($J1987,SorP!$B$1:$B$6279,0)),"",INDIRECT("'SorP'!$A$"&amp;MATCH($S1987&amp;$J1987,SorP!C:C,0))))</f>
        <v/>
      </c>
      <c r="U1987" s="194"/>
      <c r="V1987" s="218" t="e">
        <f>IF(C1987="",NA(),IF(OR(C1987="Smelter not listed",C1987="Smelter not yet identified"),MATCH($B1987&amp;$D1987,'Smelter Look-up'!$J:$J,0),MATCH($B1987&amp;$C1987,'Smelter Look-up'!$J:$J,0)))</f>
        <v>#N/A</v>
      </c>
      <c r="X1987" s="219">
        <f t="shared" ca="1" si="283"/>
        <v>0</v>
      </c>
      <c r="AB1987" s="220" t="str">
        <f t="shared" si="284"/>
        <v/>
      </c>
    </row>
    <row r="1988" spans="1:28" s="219" customFormat="1" ht="20.25">
      <c r="A1988" s="174"/>
      <c r="B1988" s="175" t="str">
        <f>IF(LEN(A1988)=0,"",INDEX('Smelter Look-up'!$A:$A,MATCH($A1988,'Smelter Look-up'!$E:$E,0)))</f>
        <v/>
      </c>
      <c r="C1988" s="179" t="str">
        <f>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282"/>
        <v/>
      </c>
      <c r="T1988" s="174" t="str">
        <f ca="1">IF(B1988="","",IF(ISERROR(MATCH($J1988,SorP!$B$1:$B$6279,0)),"",INDIRECT("'SorP'!$A$"&amp;MATCH($S1988&amp;$J1988,SorP!C:C,0))))</f>
        <v/>
      </c>
      <c r="U1988" s="194"/>
      <c r="V1988" s="218" t="e">
        <f>IF(C1988="",NA(),IF(OR(C1988="Smelter not listed",C1988="Smelter not yet identified"),MATCH($B1988&amp;$D1988,'Smelter Look-up'!$J:$J,0),MATCH($B1988&amp;$C1988,'Smelter Look-up'!$J:$J,0)))</f>
        <v>#N/A</v>
      </c>
      <c r="X1988" s="219">
        <f t="shared" ca="1" si="283"/>
        <v>0</v>
      </c>
      <c r="AB1988" s="220" t="str">
        <f t="shared" si="284"/>
        <v/>
      </c>
    </row>
    <row r="1989" spans="1:28" s="219" customFormat="1" ht="20.25">
      <c r="A1989" s="174"/>
      <c r="B1989" s="175" t="str">
        <f>IF(LEN(A1989)=0,"",INDEX('Smelter Look-up'!$A:$A,MATCH($A1989,'Smelter Look-up'!$E:$E,0)))</f>
        <v/>
      </c>
      <c r="C1989" s="179" t="str">
        <f>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282"/>
        <v/>
      </c>
      <c r="T1989" s="174" t="str">
        <f ca="1">IF(B1989="","",IF(ISERROR(MATCH($J1989,SorP!$B$1:$B$6279,0)),"",INDIRECT("'SorP'!$A$"&amp;MATCH($S1989&amp;$J1989,SorP!C:C,0))))</f>
        <v/>
      </c>
      <c r="U1989" s="194"/>
      <c r="V1989" s="218" t="e">
        <f>IF(C1989="",NA(),IF(OR(C1989="Smelter not listed",C1989="Smelter not yet identified"),MATCH($B1989&amp;$D1989,'Smelter Look-up'!$J:$J,0),MATCH($B1989&amp;$C1989,'Smelter Look-up'!$J:$J,0)))</f>
        <v>#N/A</v>
      </c>
      <c r="X1989" s="219">
        <f t="shared" ca="1" si="283"/>
        <v>0</v>
      </c>
      <c r="AB1989" s="220" t="str">
        <f t="shared" si="284"/>
        <v/>
      </c>
    </row>
    <row r="1990" spans="1:28" s="219" customFormat="1" ht="20.25">
      <c r="A1990" s="174"/>
      <c r="B1990" s="175" t="str">
        <f>IF(LEN(A1990)=0,"",INDEX('Smelter Look-up'!$A:$A,MATCH($A1990,'Smelter Look-up'!$E:$E,0)))</f>
        <v/>
      </c>
      <c r="C1990" s="179" t="str">
        <f>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282"/>
        <v/>
      </c>
      <c r="T1990" s="174" t="str">
        <f ca="1">IF(B1990="","",IF(ISERROR(MATCH($J1990,SorP!$B$1:$B$6279,0)),"",INDIRECT("'SorP'!$A$"&amp;MATCH($S1990&amp;$J1990,SorP!C:C,0))))</f>
        <v/>
      </c>
      <c r="U1990" s="194"/>
      <c r="V1990" s="218" t="e">
        <f>IF(C1990="",NA(),IF(OR(C1990="Smelter not listed",C1990="Smelter not yet identified"),MATCH($B1990&amp;$D1990,'Smelter Look-up'!$J:$J,0),MATCH($B1990&amp;$C1990,'Smelter Look-up'!$J:$J,0)))</f>
        <v>#N/A</v>
      </c>
      <c r="X1990" s="219">
        <f t="shared" ca="1" si="283"/>
        <v>0</v>
      </c>
      <c r="AB1990" s="220" t="str">
        <f t="shared" si="284"/>
        <v/>
      </c>
    </row>
    <row r="1991" spans="1:28" s="219" customFormat="1" ht="20.25">
      <c r="A1991" s="174"/>
      <c r="B1991" s="175" t="str">
        <f>IF(LEN(A1991)=0,"",INDEX('Smelter Look-up'!$A:$A,MATCH($A1991,'Smelter Look-up'!$E:$E,0)))</f>
        <v/>
      </c>
      <c r="C1991" s="179" t="str">
        <f>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282"/>
        <v/>
      </c>
      <c r="T1991" s="174" t="str">
        <f ca="1">IF(B1991="","",IF(ISERROR(MATCH($J1991,SorP!$B$1:$B$6279,0)),"",INDIRECT("'SorP'!$A$"&amp;MATCH($S1991&amp;$J1991,SorP!C:C,0))))</f>
        <v/>
      </c>
      <c r="U1991" s="194"/>
      <c r="V1991" s="218" t="e">
        <f>IF(C1991="",NA(),IF(OR(C1991="Smelter not listed",C1991="Smelter not yet identified"),MATCH($B1991&amp;$D1991,'Smelter Look-up'!$J:$J,0),MATCH($B1991&amp;$C1991,'Smelter Look-up'!$J:$J,0)))</f>
        <v>#N/A</v>
      </c>
      <c r="X1991" s="219">
        <f t="shared" ca="1" si="283"/>
        <v>0</v>
      </c>
      <c r="AB1991" s="220" t="str">
        <f t="shared" si="284"/>
        <v/>
      </c>
    </row>
    <row r="1992" spans="1:28" s="219" customFormat="1" ht="20.25">
      <c r="A1992" s="174"/>
      <c r="B1992" s="175" t="str">
        <f>IF(LEN(A1992)=0,"",INDEX('Smelter Look-up'!$A:$A,MATCH($A1992,'Smelter Look-up'!$E:$E,0)))</f>
        <v/>
      </c>
      <c r="C1992" s="179" t="str">
        <f>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282"/>
        <v/>
      </c>
      <c r="T1992" s="174" t="str">
        <f ca="1">IF(B1992="","",IF(ISERROR(MATCH($J1992,SorP!$B$1:$B$6279,0)),"",INDIRECT("'SorP'!$A$"&amp;MATCH($S1992&amp;$J1992,SorP!C:C,0))))</f>
        <v/>
      </c>
      <c r="U1992" s="194"/>
      <c r="V1992" s="218" t="e">
        <f>IF(C1992="",NA(),IF(OR(C1992="Smelter not listed",C1992="Smelter not yet identified"),MATCH($B1992&amp;$D1992,'Smelter Look-up'!$J:$J,0),MATCH($B1992&amp;$C1992,'Smelter Look-up'!$J:$J,0)))</f>
        <v>#N/A</v>
      </c>
      <c r="X1992" s="219">
        <f t="shared" ca="1" si="283"/>
        <v>0</v>
      </c>
      <c r="AB1992" s="220" t="str">
        <f t="shared" si="284"/>
        <v/>
      </c>
    </row>
    <row r="1993" spans="1:28" s="219" customFormat="1" ht="20.25">
      <c r="A1993" s="174"/>
      <c r="B1993" s="175" t="str">
        <f>IF(LEN(A1993)=0,"",INDEX('Smelter Look-up'!$A:$A,MATCH($A1993,'Smelter Look-up'!$E:$E,0)))</f>
        <v/>
      </c>
      <c r="C1993" s="179" t="str">
        <f>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282"/>
        <v/>
      </c>
      <c r="T1993" s="174" t="str">
        <f ca="1">IF(B1993="","",IF(ISERROR(MATCH($J1993,SorP!$B$1:$B$6279,0)),"",INDIRECT("'SorP'!$A$"&amp;MATCH($S1993&amp;$J1993,SorP!C:C,0))))</f>
        <v/>
      </c>
      <c r="U1993" s="194"/>
      <c r="V1993" s="218" t="e">
        <f>IF(C1993="",NA(),IF(OR(C1993="Smelter not listed",C1993="Smelter not yet identified"),MATCH($B1993&amp;$D1993,'Smelter Look-up'!$J:$J,0),MATCH($B1993&amp;$C1993,'Smelter Look-up'!$J:$J,0)))</f>
        <v>#N/A</v>
      </c>
      <c r="X1993" s="219">
        <f t="shared" ca="1" si="283"/>
        <v>0</v>
      </c>
      <c r="AB1993" s="220" t="str">
        <f t="shared" si="284"/>
        <v/>
      </c>
    </row>
    <row r="1994" spans="1:28" s="219" customFormat="1" ht="20.25">
      <c r="A1994" s="174"/>
      <c r="B1994" s="175" t="str">
        <f>IF(LEN(A1994)=0,"",INDEX('Smelter Look-up'!$A:$A,MATCH($A1994,'Smelter Look-up'!$E:$E,0)))</f>
        <v/>
      </c>
      <c r="C1994" s="179" t="str">
        <f>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282"/>
        <v/>
      </c>
      <c r="T1994" s="174" t="str">
        <f ca="1">IF(B1994="","",IF(ISERROR(MATCH($J1994,SorP!$B$1:$B$6279,0)),"",INDIRECT("'SorP'!$A$"&amp;MATCH($S1994&amp;$J1994,SorP!C:C,0))))</f>
        <v/>
      </c>
      <c r="U1994" s="194"/>
      <c r="V1994" s="218" t="e">
        <f>IF(C1994="",NA(),IF(OR(C1994="Smelter not listed",C1994="Smelter not yet identified"),MATCH($B1994&amp;$D1994,'Smelter Look-up'!$J:$J,0),MATCH($B1994&amp;$C1994,'Smelter Look-up'!$J:$J,0)))</f>
        <v>#N/A</v>
      </c>
      <c r="X1994" s="219">
        <f t="shared" ca="1" si="283"/>
        <v>0</v>
      </c>
      <c r="AB1994" s="220" t="str">
        <f t="shared" si="284"/>
        <v/>
      </c>
    </row>
    <row r="1995" spans="1:28" s="219" customFormat="1" ht="20.25">
      <c r="A1995" s="174"/>
      <c r="B1995" s="175" t="str">
        <f>IF(LEN(A1995)=0,"",INDEX('Smelter Look-up'!$A:$A,MATCH($A1995,'Smelter Look-up'!$E:$E,0)))</f>
        <v/>
      </c>
      <c r="C1995" s="179" t="str">
        <f>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282"/>
        <v/>
      </c>
      <c r="T1995" s="174" t="str">
        <f ca="1">IF(B1995="","",IF(ISERROR(MATCH($J1995,SorP!$B$1:$B$6279,0)),"",INDIRECT("'SorP'!$A$"&amp;MATCH($S1995&amp;$J1995,SorP!C:C,0))))</f>
        <v/>
      </c>
      <c r="U1995" s="194"/>
      <c r="V1995" s="218" t="e">
        <f>IF(C1995="",NA(),IF(OR(C1995="Smelter not listed",C1995="Smelter not yet identified"),MATCH($B1995&amp;$D1995,'Smelter Look-up'!$J:$J,0),MATCH($B1995&amp;$C1995,'Smelter Look-up'!$J:$J,0)))</f>
        <v>#N/A</v>
      </c>
      <c r="X1995" s="219">
        <f t="shared" ca="1" si="283"/>
        <v>0</v>
      </c>
      <c r="AB1995" s="220" t="str">
        <f t="shared" si="284"/>
        <v/>
      </c>
    </row>
    <row r="1996" spans="1:28" s="219" customFormat="1" ht="20.25">
      <c r="A1996" s="174"/>
      <c r="B1996" s="175" t="str">
        <f>IF(LEN(A1996)=0,"",INDEX('Smelter Look-up'!$A:$A,MATCH($A1996,'Smelter Look-up'!$E:$E,0)))</f>
        <v/>
      </c>
      <c r="C1996" s="179" t="str">
        <f>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282"/>
        <v/>
      </c>
      <c r="T1996" s="174" t="str">
        <f ca="1">IF(B1996="","",IF(ISERROR(MATCH($J1996,SorP!$B$1:$B$6279,0)),"",INDIRECT("'SorP'!$A$"&amp;MATCH($S1996&amp;$J1996,SorP!C:C,0))))</f>
        <v/>
      </c>
      <c r="U1996" s="194"/>
      <c r="V1996" s="218" t="e">
        <f>IF(C1996="",NA(),IF(OR(C1996="Smelter not listed",C1996="Smelter not yet identified"),MATCH($B1996&amp;$D1996,'Smelter Look-up'!$J:$J,0),MATCH($B1996&amp;$C1996,'Smelter Look-up'!$J:$J,0)))</f>
        <v>#N/A</v>
      </c>
      <c r="X1996" s="219">
        <f t="shared" ca="1" si="283"/>
        <v>0</v>
      </c>
      <c r="AB1996" s="220" t="str">
        <f t="shared" si="284"/>
        <v/>
      </c>
    </row>
    <row r="1997" spans="1:28" s="219" customFormat="1" ht="20.25">
      <c r="A1997" s="174"/>
      <c r="B1997" s="175" t="str">
        <f>IF(LEN(A1997)=0,"",INDEX('Smelter Look-up'!$A:$A,MATCH($A1997,'Smelter Look-up'!$E:$E,0)))</f>
        <v/>
      </c>
      <c r="C1997" s="179" t="str">
        <f>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282"/>
        <v/>
      </c>
      <c r="T1997" s="174" t="str">
        <f ca="1">IF(B1997="","",IF(ISERROR(MATCH($J1997,SorP!$B$1:$B$6279,0)),"",INDIRECT("'SorP'!$A$"&amp;MATCH($S1997&amp;$J1997,SorP!C:C,0))))</f>
        <v/>
      </c>
      <c r="U1997" s="194"/>
      <c r="V1997" s="218" t="e">
        <f>IF(C1997="",NA(),IF(OR(C1997="Smelter not listed",C1997="Smelter not yet identified"),MATCH($B1997&amp;$D1997,'Smelter Look-up'!$J:$J,0),MATCH($B1997&amp;$C1997,'Smelter Look-up'!$J:$J,0)))</f>
        <v>#N/A</v>
      </c>
      <c r="X1997" s="219">
        <f t="shared" ca="1" si="283"/>
        <v>0</v>
      </c>
      <c r="AB1997" s="220" t="str">
        <f t="shared" si="284"/>
        <v/>
      </c>
    </row>
    <row r="1998" spans="1:28" s="219" customFormat="1" ht="20.25">
      <c r="A1998" s="174"/>
      <c r="B1998" s="175" t="str">
        <f>IF(LEN(A1998)=0,"",INDEX('Smelter Look-up'!$A:$A,MATCH($A1998,'Smelter Look-up'!$E:$E,0)))</f>
        <v/>
      </c>
      <c r="C1998" s="179" t="str">
        <f>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282"/>
        <v/>
      </c>
      <c r="T1998" s="174" t="str">
        <f ca="1">IF(B1998="","",IF(ISERROR(MATCH($J1998,SorP!$B$1:$B$6279,0)),"",INDIRECT("'SorP'!$A$"&amp;MATCH($S1998&amp;$J1998,SorP!C:C,0))))</f>
        <v/>
      </c>
      <c r="U1998" s="194"/>
      <c r="V1998" s="218" t="e">
        <f>IF(C1998="",NA(),IF(OR(C1998="Smelter not listed",C1998="Smelter not yet identified"),MATCH($B1998&amp;$D1998,'Smelter Look-up'!$J:$J,0),MATCH($B1998&amp;$C1998,'Smelter Look-up'!$J:$J,0)))</f>
        <v>#N/A</v>
      </c>
      <c r="X1998" s="219">
        <f t="shared" ca="1" si="283"/>
        <v>0</v>
      </c>
      <c r="AB1998" s="220" t="str">
        <f t="shared" si="284"/>
        <v/>
      </c>
    </row>
    <row r="1999" spans="1:28" s="219" customFormat="1" ht="20.25">
      <c r="A1999" s="174"/>
      <c r="B1999" s="175" t="str">
        <f>IF(LEN(A1999)=0,"",INDEX('Smelter Look-up'!$A:$A,MATCH($A1999,'Smelter Look-up'!$E:$E,0)))</f>
        <v/>
      </c>
      <c r="C1999" s="179" t="str">
        <f>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282"/>
        <v/>
      </c>
      <c r="T1999" s="174" t="str">
        <f ca="1">IF(B1999="","",IF(ISERROR(MATCH($J1999,SorP!$B$1:$B$6279,0)),"",INDIRECT("'SorP'!$A$"&amp;MATCH($S1999&amp;$J1999,SorP!C:C,0))))</f>
        <v/>
      </c>
      <c r="U1999" s="194"/>
      <c r="V1999" s="218" t="e">
        <f>IF(C1999="",NA(),IF(OR(C1999="Smelter not listed",C1999="Smelter not yet identified"),MATCH($B1999&amp;$D1999,'Smelter Look-up'!$J:$J,0),MATCH($B1999&amp;$C1999,'Smelter Look-up'!$J:$J,0)))</f>
        <v>#N/A</v>
      </c>
      <c r="X1999" s="219">
        <f t="shared" ca="1" si="283"/>
        <v>0</v>
      </c>
      <c r="AB1999" s="220" t="str">
        <f t="shared" si="284"/>
        <v/>
      </c>
    </row>
    <row r="2000" spans="1:28" s="219" customFormat="1" ht="20.25">
      <c r="A2000" s="174"/>
      <c r="B2000" s="175" t="str">
        <f>IF(LEN(A2000)=0,"",INDEX('Smelter Look-up'!$A:$A,MATCH($A2000,'Smelter Look-up'!$E:$E,0)))</f>
        <v/>
      </c>
      <c r="C2000" s="179" t="str">
        <f>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282"/>
        <v/>
      </c>
      <c r="T2000" s="174" t="str">
        <f ca="1">IF(B2000="","",IF(ISERROR(MATCH($J2000,SorP!$B$1:$B$6279,0)),"",INDIRECT("'SorP'!$A$"&amp;MATCH($S2000&amp;$J2000,SorP!C:C,0))))</f>
        <v/>
      </c>
      <c r="U2000" s="194"/>
      <c r="V2000" s="218" t="e">
        <f>IF(C2000="",NA(),IF(OR(C2000="Smelter not listed",C2000="Smelter not yet identified"),MATCH($B2000&amp;$D2000,'Smelter Look-up'!$J:$J,0),MATCH($B2000&amp;$C2000,'Smelter Look-up'!$J:$J,0)))</f>
        <v>#N/A</v>
      </c>
      <c r="X2000" s="219">
        <f t="shared" ca="1" si="283"/>
        <v>0</v>
      </c>
      <c r="AB2000" s="220" t="str">
        <f t="shared" si="284"/>
        <v/>
      </c>
    </row>
    <row r="2001" spans="1:28" s="219" customFormat="1" ht="20.25">
      <c r="A2001" s="174"/>
      <c r="B2001" s="175" t="str">
        <f>IF(LEN(A2001)=0,"",INDEX('Smelter Look-up'!$A:$A,MATCH($A2001,'Smelter Look-up'!$E:$E,0)))</f>
        <v/>
      </c>
      <c r="C2001" s="179" t="str">
        <f>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282"/>
        <v/>
      </c>
      <c r="T2001" s="174" t="str">
        <f ca="1">IF(B2001="","",IF(ISERROR(MATCH($J2001,SorP!$B$1:$B$6279,0)),"",INDIRECT("'SorP'!$A$"&amp;MATCH($S2001&amp;$J2001,SorP!C:C,0))))</f>
        <v/>
      </c>
      <c r="U2001" s="194"/>
      <c r="V2001" s="218" t="e">
        <f>IF(C2001="",NA(),IF(OR(C2001="Smelter not listed",C2001="Smelter not yet identified"),MATCH($B2001&amp;$D2001,'Smelter Look-up'!$J:$J,0),MATCH($B2001&amp;$C2001,'Smelter Look-up'!$J:$J,0)))</f>
        <v>#N/A</v>
      </c>
      <c r="X2001" s="219">
        <f t="shared" ca="1" si="283"/>
        <v>0</v>
      </c>
      <c r="AB2001" s="220" t="str">
        <f t="shared" si="284"/>
        <v/>
      </c>
    </row>
    <row r="2002" spans="1:28" s="219" customFormat="1" ht="20.25">
      <c r="A2002" s="174"/>
      <c r="B2002" s="175" t="str">
        <f>IF(LEN(A2002)=0,"",INDEX('Smelter Look-up'!$A:$A,MATCH($A2002,'Smelter Look-up'!$E:$E,0)))</f>
        <v/>
      </c>
      <c r="C2002" s="179" t="str">
        <f>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282"/>
        <v/>
      </c>
      <c r="T2002" s="174" t="str">
        <f ca="1">IF(B2002="","",IF(ISERROR(MATCH($J2002,SorP!$B$1:$B$6279,0)),"",INDIRECT("'SorP'!$A$"&amp;MATCH($S2002&amp;$J2002,SorP!C:C,0))))</f>
        <v/>
      </c>
      <c r="U2002" s="194"/>
      <c r="V2002" s="218" t="e">
        <f>IF(C2002="",NA(),IF(OR(C2002="Smelter not listed",C2002="Smelter not yet identified"),MATCH($B2002&amp;$D2002,'Smelter Look-up'!$J:$J,0),MATCH($B2002&amp;$C2002,'Smelter Look-up'!$J:$J,0)))</f>
        <v>#N/A</v>
      </c>
      <c r="X2002" s="219">
        <f t="shared" ca="1" si="283"/>
        <v>0</v>
      </c>
      <c r="AB2002" s="220" t="str">
        <f t="shared" si="284"/>
        <v/>
      </c>
    </row>
    <row r="2003" spans="1:28" s="219" customFormat="1" ht="20.25">
      <c r="A2003" s="174"/>
      <c r="B2003" s="175" t="str">
        <f>IF(LEN(A2003)=0,"",INDEX('Smelter Look-up'!$A:$A,MATCH($A2003,'Smelter Look-up'!$E:$E,0)))</f>
        <v/>
      </c>
      <c r="C2003" s="179" t="str">
        <f>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282"/>
        <v/>
      </c>
      <c r="T2003" s="174" t="str">
        <f ca="1">IF(B2003="","",IF(ISERROR(MATCH($J2003,SorP!$B$1:$B$6279,0)),"",INDIRECT("'SorP'!$A$"&amp;MATCH($S2003&amp;$J2003,SorP!C:C,0))))</f>
        <v/>
      </c>
      <c r="U2003" s="194"/>
      <c r="V2003" s="218" t="e">
        <f>IF(C2003="",NA(),IF(OR(C2003="Smelter not listed",C2003="Smelter not yet identified"),MATCH($B2003&amp;$D2003,'Smelter Look-up'!$J:$J,0),MATCH($B2003&amp;$C2003,'Smelter Look-up'!$J:$J,0)))</f>
        <v>#N/A</v>
      </c>
      <c r="X2003" s="219">
        <f t="shared" ca="1" si="283"/>
        <v>0</v>
      </c>
      <c r="AB2003" s="220" t="str">
        <f t="shared" si="284"/>
        <v/>
      </c>
    </row>
    <row r="2004" spans="1:28" s="219" customFormat="1" ht="20.25">
      <c r="A2004" s="174"/>
      <c r="B2004" s="175" t="str">
        <f>IF(LEN(A2004)=0,"",INDEX('Smelter Look-up'!$A:$A,MATCH($A2004,'Smelter Look-up'!$E:$E,0)))</f>
        <v/>
      </c>
      <c r="C2004" s="179" t="str">
        <f>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282"/>
        <v/>
      </c>
      <c r="T2004" s="174" t="str">
        <f ca="1">IF(B2004="","",IF(ISERROR(MATCH($J2004,SorP!$B$1:$B$6279,0)),"",INDIRECT("'SorP'!$A$"&amp;MATCH($S2004&amp;$J2004,SorP!C:C,0))))</f>
        <v/>
      </c>
      <c r="U2004" s="194"/>
      <c r="V2004" s="218" t="e">
        <f>IF(C2004="",NA(),IF(OR(C2004="Smelter not listed",C2004="Smelter not yet identified"),MATCH($B2004&amp;$D2004,'Smelter Look-up'!$J:$J,0),MATCH($B2004&amp;$C2004,'Smelter Look-up'!$J:$J,0)))</f>
        <v>#N/A</v>
      </c>
      <c r="X2004" s="219">
        <f t="shared" ca="1" si="283"/>
        <v>0</v>
      </c>
      <c r="AB2004" s="220" t="str">
        <f t="shared" si="284"/>
        <v/>
      </c>
    </row>
    <row r="2005" spans="1:28" s="219" customFormat="1" ht="20.25">
      <c r="A2005" s="174"/>
      <c r="B2005" s="175" t="str">
        <f>IF(LEN(A2005)=0,"",INDEX('Smelter Look-up'!$A:$A,MATCH($A2005,'Smelter Look-up'!$E:$E,0)))</f>
        <v/>
      </c>
      <c r="C2005" s="179" t="str">
        <f>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282"/>
        <v/>
      </c>
      <c r="T2005" s="174" t="str">
        <f ca="1">IF(B2005="","",IF(ISERROR(MATCH($J2005,SorP!$B$1:$B$6279,0)),"",INDIRECT("'SorP'!$A$"&amp;MATCH($S2005&amp;$J2005,SorP!C:C,0))))</f>
        <v/>
      </c>
      <c r="U2005" s="194"/>
      <c r="V2005" s="218" t="e">
        <f>IF(C2005="",NA(),IF(OR(C2005="Smelter not listed",C2005="Smelter not yet identified"),MATCH($B2005&amp;$D2005,'Smelter Look-up'!$J:$J,0),MATCH($B2005&amp;$C2005,'Smelter Look-up'!$J:$J,0)))</f>
        <v>#N/A</v>
      </c>
      <c r="X2005" s="219">
        <f t="shared" ca="1" si="283"/>
        <v>0</v>
      </c>
      <c r="AB2005" s="220" t="str">
        <f t="shared" si="284"/>
        <v/>
      </c>
    </row>
    <row r="2006" spans="1:28" s="219" customFormat="1" ht="20.25">
      <c r="A2006" s="174"/>
      <c r="B2006" s="175" t="str">
        <f>IF(LEN(A2006)=0,"",INDEX('Smelter Look-up'!$A:$A,MATCH($A2006,'Smelter Look-up'!$E:$E,0)))</f>
        <v/>
      </c>
      <c r="C2006" s="179" t="str">
        <f>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282"/>
        <v/>
      </c>
      <c r="T2006" s="174" t="str">
        <f ca="1">IF(B2006="","",IF(ISERROR(MATCH($J2006,SorP!$B$1:$B$6279,0)),"",INDIRECT("'SorP'!$A$"&amp;MATCH($S2006&amp;$J2006,SorP!C:C,0))))</f>
        <v/>
      </c>
      <c r="U2006" s="194"/>
      <c r="V2006" s="218" t="e">
        <f>IF(C2006="",NA(),IF(OR(C2006="Smelter not listed",C2006="Smelter not yet identified"),MATCH($B2006&amp;$D2006,'Smelter Look-up'!$J:$J,0),MATCH($B2006&amp;$C2006,'Smelter Look-up'!$J:$J,0)))</f>
        <v>#N/A</v>
      </c>
      <c r="X2006" s="219">
        <f t="shared" ca="1" si="283"/>
        <v>0</v>
      </c>
      <c r="AB2006" s="220" t="str">
        <f t="shared" si="284"/>
        <v/>
      </c>
    </row>
    <row r="2007" spans="1:28" s="219" customFormat="1" ht="20.25">
      <c r="A2007" s="174"/>
      <c r="B2007" s="175" t="str">
        <f>IF(LEN(A2007)=0,"",INDEX('Smelter Look-up'!$A:$A,MATCH($A2007,'Smelter Look-up'!$E:$E,0)))</f>
        <v/>
      </c>
      <c r="C2007" s="179" t="str">
        <f>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282"/>
        <v/>
      </c>
      <c r="T2007" s="174" t="str">
        <f ca="1">IF(B2007="","",IF(ISERROR(MATCH($J2007,SorP!$B$1:$B$6279,0)),"",INDIRECT("'SorP'!$A$"&amp;MATCH($S2007&amp;$J2007,SorP!C:C,0))))</f>
        <v/>
      </c>
      <c r="U2007" s="194"/>
      <c r="V2007" s="218" t="e">
        <f>IF(C2007="",NA(),IF(OR(C2007="Smelter not listed",C2007="Smelter not yet identified"),MATCH($B2007&amp;$D2007,'Smelter Look-up'!$J:$J,0),MATCH($B2007&amp;$C2007,'Smelter Look-up'!$J:$J,0)))</f>
        <v>#N/A</v>
      </c>
      <c r="X2007" s="219">
        <f t="shared" ca="1" si="283"/>
        <v>0</v>
      </c>
      <c r="AB2007" s="220" t="str">
        <f t="shared" si="284"/>
        <v/>
      </c>
    </row>
    <row r="2008" spans="1:28" s="219" customFormat="1" ht="20.25">
      <c r="A2008" s="174"/>
      <c r="B2008" s="175" t="str">
        <f>IF(LEN(A2008)=0,"",INDEX('Smelter Look-up'!$A:$A,MATCH($A2008,'Smelter Look-up'!$E:$E,0)))</f>
        <v/>
      </c>
      <c r="C2008" s="179" t="str">
        <f>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282"/>
        <v/>
      </c>
      <c r="T2008" s="174" t="str">
        <f ca="1">IF(B2008="","",IF(ISERROR(MATCH($J2008,SorP!$B$1:$B$6279,0)),"",INDIRECT("'SorP'!$A$"&amp;MATCH($S2008&amp;$J2008,SorP!C:C,0))))</f>
        <v/>
      </c>
      <c r="U2008" s="194"/>
      <c r="V2008" s="218" t="e">
        <f>IF(C2008="",NA(),IF(OR(C2008="Smelter not listed",C2008="Smelter not yet identified"),MATCH($B2008&amp;$D2008,'Smelter Look-up'!$J:$J,0),MATCH($B2008&amp;$C2008,'Smelter Look-up'!$J:$J,0)))</f>
        <v>#N/A</v>
      </c>
      <c r="X2008" s="219">
        <f t="shared" ca="1" si="283"/>
        <v>0</v>
      </c>
      <c r="AB2008" s="220" t="str">
        <f t="shared" si="284"/>
        <v/>
      </c>
    </row>
    <row r="2009" spans="1:28" s="219" customFormat="1" ht="20.25">
      <c r="A2009" s="174"/>
      <c r="B2009" s="175" t="str">
        <f>IF(LEN(A2009)=0,"",INDEX('Smelter Look-up'!$A:$A,MATCH($A2009,'Smelter Look-up'!$E:$E,0)))</f>
        <v/>
      </c>
      <c r="C2009" s="179" t="str">
        <f>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282"/>
        <v/>
      </c>
      <c r="T2009" s="174" t="str">
        <f ca="1">IF(B2009="","",IF(ISERROR(MATCH($J2009,SorP!$B$1:$B$6279,0)),"",INDIRECT("'SorP'!$A$"&amp;MATCH($S2009&amp;$J2009,SorP!C:C,0))))</f>
        <v/>
      </c>
      <c r="U2009" s="194"/>
      <c r="V2009" s="218" t="e">
        <f>IF(C2009="",NA(),IF(OR(C2009="Smelter not listed",C2009="Smelter not yet identified"),MATCH($B2009&amp;$D2009,'Smelter Look-up'!$J:$J,0),MATCH($B2009&amp;$C2009,'Smelter Look-up'!$J:$J,0)))</f>
        <v>#N/A</v>
      </c>
      <c r="X2009" s="219">
        <f t="shared" ca="1" si="283"/>
        <v>0</v>
      </c>
      <c r="AB2009" s="220" t="str">
        <f t="shared" si="284"/>
        <v/>
      </c>
    </row>
    <row r="2010" spans="1:28" s="219" customFormat="1" ht="20.25">
      <c r="A2010" s="174"/>
      <c r="B2010" s="175" t="str">
        <f>IF(LEN(A2010)=0,"",INDEX('Smelter Look-up'!$A:$A,MATCH($A2010,'Smelter Look-up'!$E:$E,0)))</f>
        <v/>
      </c>
      <c r="C2010" s="179" t="str">
        <f>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282"/>
        <v/>
      </c>
      <c r="T2010" s="174" t="str">
        <f ca="1">IF(B2010="","",IF(ISERROR(MATCH($J2010,SorP!$B$1:$B$6279,0)),"",INDIRECT("'SorP'!$A$"&amp;MATCH($S2010&amp;$J2010,SorP!C:C,0))))</f>
        <v/>
      </c>
      <c r="U2010" s="194"/>
      <c r="V2010" s="218" t="e">
        <f>IF(C2010="",NA(),IF(OR(C2010="Smelter not listed",C2010="Smelter not yet identified"),MATCH($B2010&amp;$D2010,'Smelter Look-up'!$J:$J,0),MATCH($B2010&amp;$C2010,'Smelter Look-up'!$J:$J,0)))</f>
        <v>#N/A</v>
      </c>
      <c r="X2010" s="219">
        <f t="shared" ca="1" si="283"/>
        <v>0</v>
      </c>
      <c r="AB2010" s="220" t="str">
        <f t="shared" si="284"/>
        <v/>
      </c>
    </row>
    <row r="2011" spans="1:28" s="219" customFormat="1" ht="20.25">
      <c r="A2011" s="174"/>
      <c r="B2011" s="175" t="str">
        <f>IF(LEN(A2011)=0,"",INDEX('Smelter Look-up'!$A:$A,MATCH($A2011,'Smelter Look-up'!$E:$E,0)))</f>
        <v/>
      </c>
      <c r="C2011" s="179" t="str">
        <f>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282"/>
        <v/>
      </c>
      <c r="T2011" s="174" t="str">
        <f ca="1">IF(B2011="","",IF(ISERROR(MATCH($J2011,SorP!$B$1:$B$6279,0)),"",INDIRECT("'SorP'!$A$"&amp;MATCH($S2011&amp;$J2011,SorP!C:C,0))))</f>
        <v/>
      </c>
      <c r="U2011" s="194"/>
      <c r="V2011" s="218" t="e">
        <f>IF(C2011="",NA(),IF(OR(C2011="Smelter not listed",C2011="Smelter not yet identified"),MATCH($B2011&amp;$D2011,'Smelter Look-up'!$J:$J,0),MATCH($B2011&amp;$C2011,'Smelter Look-up'!$J:$J,0)))</f>
        <v>#N/A</v>
      </c>
      <c r="X2011" s="219">
        <f t="shared" ca="1" si="283"/>
        <v>0</v>
      </c>
      <c r="AB2011" s="220" t="str">
        <f t="shared" si="284"/>
        <v/>
      </c>
    </row>
    <row r="2012" spans="1:28" s="219" customFormat="1" ht="20.25">
      <c r="A2012" s="174"/>
      <c r="B2012" s="175" t="str">
        <f>IF(LEN(A2012)=0,"",INDEX('Smelter Look-up'!$A:$A,MATCH($A2012,'Smelter Look-up'!$E:$E,0)))</f>
        <v/>
      </c>
      <c r="C2012" s="179" t="str">
        <f>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ref="S2012:S2042" ca="1" si="285">IF(B2012="","",IF(ISERROR(MATCH($E2012,CL,0)),"Unknown",INDIRECT("'C'!$A$"&amp;MATCH($E2012,CL,0)+1)))</f>
        <v/>
      </c>
      <c r="T2012" s="174" t="str">
        <f ca="1">IF(B2012="","",IF(ISERROR(MATCH($J2012,SorP!$B$1:$B$6279,0)),"",INDIRECT("'SorP'!$A$"&amp;MATCH($S2012&amp;$J2012,SorP!C:C,0))))</f>
        <v/>
      </c>
      <c r="U2012" s="194"/>
      <c r="V2012" s="218" t="e">
        <f>IF(C2012="",NA(),IF(OR(C2012="Smelter not listed",C2012="Smelter not yet identified"),MATCH($B2012&amp;$D2012,'Smelter Look-up'!$J:$J,0),MATCH($B2012&amp;$C2012,'Smelter Look-up'!$J:$J,0)))</f>
        <v>#N/A</v>
      </c>
      <c r="X2012" s="219">
        <f t="shared" ref="X2012:X2042" ca="1" si="286">IF(AND(C2012="Smelter not listed",OR(LEN(D2012)=0,LEN(E2012)=0)),1,0)</f>
        <v>0</v>
      </c>
      <c r="AB2012" s="220" t="str">
        <f t="shared" ref="AB2012:AB2042" si="287">B2012&amp;C2012</f>
        <v/>
      </c>
    </row>
    <row r="2013" spans="1:28" s="219" customFormat="1" ht="20.25">
      <c r="A2013" s="174"/>
      <c r="B2013" s="175" t="str">
        <f>IF(LEN(A2013)=0,"",INDEX('Smelter Look-up'!$A:$A,MATCH($A2013,'Smelter Look-up'!$E:$E,0)))</f>
        <v/>
      </c>
      <c r="C2013" s="179" t="str">
        <f>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285"/>
        <v/>
      </c>
      <c r="T2013" s="174" t="str">
        <f ca="1">IF(B2013="","",IF(ISERROR(MATCH($J2013,SorP!$B$1:$B$6279,0)),"",INDIRECT("'SorP'!$A$"&amp;MATCH($S2013&amp;$J2013,SorP!C:C,0))))</f>
        <v/>
      </c>
      <c r="U2013" s="194"/>
      <c r="V2013" s="218" t="e">
        <f>IF(C2013="",NA(),IF(OR(C2013="Smelter not listed",C2013="Smelter not yet identified"),MATCH($B2013&amp;$D2013,'Smelter Look-up'!$J:$J,0),MATCH($B2013&amp;$C2013,'Smelter Look-up'!$J:$J,0)))</f>
        <v>#N/A</v>
      </c>
      <c r="X2013" s="219">
        <f t="shared" ca="1" si="286"/>
        <v>0</v>
      </c>
      <c r="AB2013" s="220" t="str">
        <f t="shared" si="287"/>
        <v/>
      </c>
    </row>
    <row r="2014" spans="1:28" s="219" customFormat="1" ht="20.25">
      <c r="A2014" s="174"/>
      <c r="B2014" s="175" t="str">
        <f>IF(LEN(A2014)=0,"",INDEX('Smelter Look-up'!$A:$A,MATCH($A2014,'Smelter Look-up'!$E:$E,0)))</f>
        <v/>
      </c>
      <c r="C2014" s="179" t="str">
        <f>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285"/>
        <v/>
      </c>
      <c r="T2014" s="174" t="str">
        <f ca="1">IF(B2014="","",IF(ISERROR(MATCH($J2014,SorP!$B$1:$B$6279,0)),"",INDIRECT("'SorP'!$A$"&amp;MATCH($S2014&amp;$J2014,SorP!C:C,0))))</f>
        <v/>
      </c>
      <c r="U2014" s="194"/>
      <c r="V2014" s="218" t="e">
        <f>IF(C2014="",NA(),IF(OR(C2014="Smelter not listed",C2014="Smelter not yet identified"),MATCH($B2014&amp;$D2014,'Smelter Look-up'!$J:$J,0),MATCH($B2014&amp;$C2014,'Smelter Look-up'!$J:$J,0)))</f>
        <v>#N/A</v>
      </c>
      <c r="X2014" s="219">
        <f t="shared" ca="1" si="286"/>
        <v>0</v>
      </c>
      <c r="AB2014" s="220" t="str">
        <f t="shared" si="287"/>
        <v/>
      </c>
    </row>
    <row r="2015" spans="1:28" s="219" customFormat="1" ht="20.25">
      <c r="A2015" s="174"/>
      <c r="B2015" s="175" t="str">
        <f>IF(LEN(A2015)=0,"",INDEX('Smelter Look-up'!$A:$A,MATCH($A2015,'Smelter Look-up'!$E:$E,0)))</f>
        <v/>
      </c>
      <c r="C2015" s="179" t="str">
        <f>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285"/>
        <v/>
      </c>
      <c r="T2015" s="174" t="str">
        <f ca="1">IF(B2015="","",IF(ISERROR(MATCH($J2015,SorP!$B$1:$B$6279,0)),"",INDIRECT("'SorP'!$A$"&amp;MATCH($S2015&amp;$J2015,SorP!C:C,0))))</f>
        <v/>
      </c>
      <c r="U2015" s="194"/>
      <c r="V2015" s="218" t="e">
        <f>IF(C2015="",NA(),IF(OR(C2015="Smelter not listed",C2015="Smelter not yet identified"),MATCH($B2015&amp;$D2015,'Smelter Look-up'!$J:$J,0),MATCH($B2015&amp;$C2015,'Smelter Look-up'!$J:$J,0)))</f>
        <v>#N/A</v>
      </c>
      <c r="X2015" s="219">
        <f t="shared" ca="1" si="286"/>
        <v>0</v>
      </c>
      <c r="AB2015" s="220" t="str">
        <f t="shared" si="287"/>
        <v/>
      </c>
    </row>
    <row r="2016" spans="1:28" s="219" customFormat="1" ht="20.25">
      <c r="A2016" s="174"/>
      <c r="B2016" s="175" t="str">
        <f>IF(LEN(A2016)=0,"",INDEX('Smelter Look-up'!$A:$A,MATCH($A2016,'Smelter Look-up'!$E:$E,0)))</f>
        <v/>
      </c>
      <c r="C2016" s="179" t="str">
        <f>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285"/>
        <v/>
      </c>
      <c r="T2016" s="174" t="str">
        <f ca="1">IF(B2016="","",IF(ISERROR(MATCH($J2016,SorP!$B$1:$B$6279,0)),"",INDIRECT("'SorP'!$A$"&amp;MATCH($S2016&amp;$J2016,SorP!C:C,0))))</f>
        <v/>
      </c>
      <c r="U2016" s="194"/>
      <c r="V2016" s="218" t="e">
        <f>IF(C2016="",NA(),IF(OR(C2016="Smelter not listed",C2016="Smelter not yet identified"),MATCH($B2016&amp;$D2016,'Smelter Look-up'!$J:$J,0),MATCH($B2016&amp;$C2016,'Smelter Look-up'!$J:$J,0)))</f>
        <v>#N/A</v>
      </c>
      <c r="X2016" s="219">
        <f t="shared" ca="1" si="286"/>
        <v>0</v>
      </c>
      <c r="AB2016" s="220" t="str">
        <f t="shared" si="287"/>
        <v/>
      </c>
    </row>
    <row r="2017" spans="1:28" s="219" customFormat="1" ht="20.25">
      <c r="A2017" s="174"/>
      <c r="B2017" s="175" t="str">
        <f>IF(LEN(A2017)=0,"",INDEX('Smelter Look-up'!$A:$A,MATCH($A2017,'Smelter Look-up'!$E:$E,0)))</f>
        <v/>
      </c>
      <c r="C2017" s="179" t="str">
        <f>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285"/>
        <v/>
      </c>
      <c r="T2017" s="174" t="str">
        <f ca="1">IF(B2017="","",IF(ISERROR(MATCH($J2017,SorP!$B$1:$B$6279,0)),"",INDIRECT("'SorP'!$A$"&amp;MATCH($S2017&amp;$J2017,SorP!C:C,0))))</f>
        <v/>
      </c>
      <c r="U2017" s="194"/>
      <c r="V2017" s="218" t="e">
        <f>IF(C2017="",NA(),IF(OR(C2017="Smelter not listed",C2017="Smelter not yet identified"),MATCH($B2017&amp;$D2017,'Smelter Look-up'!$J:$J,0),MATCH($B2017&amp;$C2017,'Smelter Look-up'!$J:$J,0)))</f>
        <v>#N/A</v>
      </c>
      <c r="X2017" s="219">
        <f t="shared" ca="1" si="286"/>
        <v>0</v>
      </c>
      <c r="AB2017" s="220" t="str">
        <f t="shared" si="287"/>
        <v/>
      </c>
    </row>
    <row r="2018" spans="1:28" s="219" customFormat="1" ht="20.25">
      <c r="A2018" s="174"/>
      <c r="B2018" s="175" t="str">
        <f>IF(LEN(A2018)=0,"",INDEX('Smelter Look-up'!$A:$A,MATCH($A2018,'Smelter Look-up'!$E:$E,0)))</f>
        <v/>
      </c>
      <c r="C2018" s="179" t="str">
        <f>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285"/>
        <v/>
      </c>
      <c r="T2018" s="174" t="str">
        <f ca="1">IF(B2018="","",IF(ISERROR(MATCH($J2018,SorP!$B$1:$B$6279,0)),"",INDIRECT("'SorP'!$A$"&amp;MATCH($S2018&amp;$J2018,SorP!C:C,0))))</f>
        <v/>
      </c>
      <c r="U2018" s="194"/>
      <c r="V2018" s="218" t="e">
        <f>IF(C2018="",NA(),IF(OR(C2018="Smelter not listed",C2018="Smelter not yet identified"),MATCH($B2018&amp;$D2018,'Smelter Look-up'!$J:$J,0),MATCH($B2018&amp;$C2018,'Smelter Look-up'!$J:$J,0)))</f>
        <v>#N/A</v>
      </c>
      <c r="X2018" s="219">
        <f t="shared" ca="1" si="286"/>
        <v>0</v>
      </c>
      <c r="AB2018" s="220" t="str">
        <f t="shared" si="287"/>
        <v/>
      </c>
    </row>
    <row r="2019" spans="1:28" s="219" customFormat="1" ht="20.25">
      <c r="A2019" s="174"/>
      <c r="B2019" s="175" t="str">
        <f>IF(LEN(A2019)=0,"",INDEX('Smelter Look-up'!$A:$A,MATCH($A2019,'Smelter Look-up'!$E:$E,0)))</f>
        <v/>
      </c>
      <c r="C2019" s="179" t="str">
        <f>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285"/>
        <v/>
      </c>
      <c r="T2019" s="174" t="str">
        <f ca="1">IF(B2019="","",IF(ISERROR(MATCH($J2019,SorP!$B$1:$B$6279,0)),"",INDIRECT("'SorP'!$A$"&amp;MATCH($S2019&amp;$J2019,SorP!C:C,0))))</f>
        <v/>
      </c>
      <c r="U2019" s="194"/>
      <c r="V2019" s="218" t="e">
        <f>IF(C2019="",NA(),IF(OR(C2019="Smelter not listed",C2019="Smelter not yet identified"),MATCH($B2019&amp;$D2019,'Smelter Look-up'!$J:$J,0),MATCH($B2019&amp;$C2019,'Smelter Look-up'!$J:$J,0)))</f>
        <v>#N/A</v>
      </c>
      <c r="X2019" s="219">
        <f t="shared" ca="1" si="286"/>
        <v>0</v>
      </c>
      <c r="AB2019" s="220" t="str">
        <f t="shared" si="287"/>
        <v/>
      </c>
    </row>
    <row r="2020" spans="1:28" s="219" customFormat="1" ht="20.25">
      <c r="A2020" s="174"/>
      <c r="B2020" s="175" t="str">
        <f>IF(LEN(A2020)=0,"",INDEX('Smelter Look-up'!$A:$A,MATCH($A2020,'Smelter Look-up'!$E:$E,0)))</f>
        <v/>
      </c>
      <c r="C2020" s="179" t="str">
        <f>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285"/>
        <v/>
      </c>
      <c r="T2020" s="174" t="str">
        <f ca="1">IF(B2020="","",IF(ISERROR(MATCH($J2020,SorP!$B$1:$B$6279,0)),"",INDIRECT("'SorP'!$A$"&amp;MATCH($S2020&amp;$J2020,SorP!C:C,0))))</f>
        <v/>
      </c>
      <c r="U2020" s="194"/>
      <c r="V2020" s="218" t="e">
        <f>IF(C2020="",NA(),IF(OR(C2020="Smelter not listed",C2020="Smelter not yet identified"),MATCH($B2020&amp;$D2020,'Smelter Look-up'!$J:$J,0),MATCH($B2020&amp;$C2020,'Smelter Look-up'!$J:$J,0)))</f>
        <v>#N/A</v>
      </c>
      <c r="X2020" s="219">
        <f t="shared" ca="1" si="286"/>
        <v>0</v>
      </c>
      <c r="AB2020" s="220" t="str">
        <f t="shared" si="287"/>
        <v/>
      </c>
    </row>
    <row r="2021" spans="1:28" s="219" customFormat="1" ht="20.25">
      <c r="A2021" s="174"/>
      <c r="B2021" s="175" t="str">
        <f>IF(LEN(A2021)=0,"",INDEX('Smelter Look-up'!$A:$A,MATCH($A2021,'Smelter Look-up'!$E:$E,0)))</f>
        <v/>
      </c>
      <c r="C2021" s="179" t="str">
        <f>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285"/>
        <v/>
      </c>
      <c r="T2021" s="174" t="str">
        <f ca="1">IF(B2021="","",IF(ISERROR(MATCH($J2021,SorP!$B$1:$B$6279,0)),"",INDIRECT("'SorP'!$A$"&amp;MATCH($S2021&amp;$J2021,SorP!C:C,0))))</f>
        <v/>
      </c>
      <c r="U2021" s="194"/>
      <c r="V2021" s="218" t="e">
        <f>IF(C2021="",NA(),IF(OR(C2021="Smelter not listed",C2021="Smelter not yet identified"),MATCH($B2021&amp;$D2021,'Smelter Look-up'!$J:$J,0),MATCH($B2021&amp;$C2021,'Smelter Look-up'!$J:$J,0)))</f>
        <v>#N/A</v>
      </c>
      <c r="X2021" s="219">
        <f t="shared" ca="1" si="286"/>
        <v>0</v>
      </c>
      <c r="AB2021" s="220" t="str">
        <f t="shared" si="287"/>
        <v/>
      </c>
    </row>
    <row r="2022" spans="1:28" s="219" customFormat="1" ht="20.25">
      <c r="A2022" s="174"/>
      <c r="B2022" s="175" t="str">
        <f>IF(LEN(A2022)=0,"",INDEX('Smelter Look-up'!$A:$A,MATCH($A2022,'Smelter Look-up'!$E:$E,0)))</f>
        <v/>
      </c>
      <c r="C2022" s="179" t="str">
        <f>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285"/>
        <v/>
      </c>
      <c r="T2022" s="174" t="str">
        <f ca="1">IF(B2022="","",IF(ISERROR(MATCH($J2022,SorP!$B$1:$B$6279,0)),"",INDIRECT("'SorP'!$A$"&amp;MATCH($S2022&amp;$J2022,SorP!C:C,0))))</f>
        <v/>
      </c>
      <c r="U2022" s="194"/>
      <c r="V2022" s="218" t="e">
        <f>IF(C2022="",NA(),IF(OR(C2022="Smelter not listed",C2022="Smelter not yet identified"),MATCH($B2022&amp;$D2022,'Smelter Look-up'!$J:$J,0),MATCH($B2022&amp;$C2022,'Smelter Look-up'!$J:$J,0)))</f>
        <v>#N/A</v>
      </c>
      <c r="X2022" s="219">
        <f t="shared" ca="1" si="286"/>
        <v>0</v>
      </c>
      <c r="AB2022" s="220" t="str">
        <f t="shared" si="287"/>
        <v/>
      </c>
    </row>
    <row r="2023" spans="1:28" s="219" customFormat="1" ht="20.25">
      <c r="A2023" s="174"/>
      <c r="B2023" s="175" t="str">
        <f>IF(LEN(A2023)=0,"",INDEX('Smelter Look-up'!$A:$A,MATCH($A2023,'Smelter Look-up'!$E:$E,0)))</f>
        <v/>
      </c>
      <c r="C2023" s="179" t="str">
        <f>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285"/>
        <v/>
      </c>
      <c r="T2023" s="174" t="str">
        <f ca="1">IF(B2023="","",IF(ISERROR(MATCH($J2023,SorP!$B$1:$B$6279,0)),"",INDIRECT("'SorP'!$A$"&amp;MATCH($S2023&amp;$J2023,SorP!C:C,0))))</f>
        <v/>
      </c>
      <c r="U2023" s="194"/>
      <c r="V2023" s="218" t="e">
        <f>IF(C2023="",NA(),IF(OR(C2023="Smelter not listed",C2023="Smelter not yet identified"),MATCH($B2023&amp;$D2023,'Smelter Look-up'!$J:$J,0),MATCH($B2023&amp;$C2023,'Smelter Look-up'!$J:$J,0)))</f>
        <v>#N/A</v>
      </c>
      <c r="X2023" s="219">
        <f t="shared" ca="1" si="286"/>
        <v>0</v>
      </c>
      <c r="AB2023" s="220" t="str">
        <f t="shared" si="287"/>
        <v/>
      </c>
    </row>
    <row r="2024" spans="1:28" s="219" customFormat="1" ht="20.25">
      <c r="A2024" s="174"/>
      <c r="B2024" s="175" t="str">
        <f>IF(LEN(A2024)=0,"",INDEX('Smelter Look-up'!$A:$A,MATCH($A2024,'Smelter Look-up'!$E:$E,0)))</f>
        <v/>
      </c>
      <c r="C2024" s="179" t="str">
        <f>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285"/>
        <v/>
      </c>
      <c r="T2024" s="174" t="str">
        <f ca="1">IF(B2024="","",IF(ISERROR(MATCH($J2024,SorP!$B$1:$B$6279,0)),"",INDIRECT("'SorP'!$A$"&amp;MATCH($S2024&amp;$J2024,SorP!C:C,0))))</f>
        <v/>
      </c>
      <c r="U2024" s="194"/>
      <c r="V2024" s="218" t="e">
        <f>IF(C2024="",NA(),IF(OR(C2024="Smelter not listed",C2024="Smelter not yet identified"),MATCH($B2024&amp;$D2024,'Smelter Look-up'!$J:$J,0),MATCH($B2024&amp;$C2024,'Smelter Look-up'!$J:$J,0)))</f>
        <v>#N/A</v>
      </c>
      <c r="X2024" s="219">
        <f t="shared" ca="1" si="286"/>
        <v>0</v>
      </c>
      <c r="AB2024" s="220" t="str">
        <f t="shared" si="287"/>
        <v/>
      </c>
    </row>
    <row r="2025" spans="1:28" s="219" customFormat="1" ht="20.25">
      <c r="A2025" s="174"/>
      <c r="B2025" s="175" t="str">
        <f>IF(LEN(A2025)=0,"",INDEX('Smelter Look-up'!$A:$A,MATCH($A2025,'Smelter Look-up'!$E:$E,0)))</f>
        <v/>
      </c>
      <c r="C2025" s="179" t="str">
        <f>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285"/>
        <v/>
      </c>
      <c r="T2025" s="174" t="str">
        <f ca="1">IF(B2025="","",IF(ISERROR(MATCH($J2025,SorP!$B$1:$B$6279,0)),"",INDIRECT("'SorP'!$A$"&amp;MATCH($S2025&amp;$J2025,SorP!C:C,0))))</f>
        <v/>
      </c>
      <c r="U2025" s="194"/>
      <c r="V2025" s="218" t="e">
        <f>IF(C2025="",NA(),IF(OR(C2025="Smelter not listed",C2025="Smelter not yet identified"),MATCH($B2025&amp;$D2025,'Smelter Look-up'!$J:$J,0),MATCH($B2025&amp;$C2025,'Smelter Look-up'!$J:$J,0)))</f>
        <v>#N/A</v>
      </c>
      <c r="X2025" s="219">
        <f t="shared" ca="1" si="286"/>
        <v>0</v>
      </c>
      <c r="AB2025" s="220" t="str">
        <f t="shared" si="287"/>
        <v/>
      </c>
    </row>
    <row r="2026" spans="1:28" s="219" customFormat="1" ht="20.25">
      <c r="A2026" s="174"/>
      <c r="B2026" s="175" t="str">
        <f>IF(LEN(A2026)=0,"",INDEX('Smelter Look-up'!$A:$A,MATCH($A2026,'Smelter Look-up'!$E:$E,0)))</f>
        <v/>
      </c>
      <c r="C2026" s="179" t="str">
        <f>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285"/>
        <v/>
      </c>
      <c r="T2026" s="174" t="str">
        <f ca="1">IF(B2026="","",IF(ISERROR(MATCH($J2026,SorP!$B$1:$B$6279,0)),"",INDIRECT("'SorP'!$A$"&amp;MATCH($S2026&amp;$J2026,SorP!C:C,0))))</f>
        <v/>
      </c>
      <c r="U2026" s="194"/>
      <c r="V2026" s="218" t="e">
        <f>IF(C2026="",NA(),IF(OR(C2026="Smelter not listed",C2026="Smelter not yet identified"),MATCH($B2026&amp;$D2026,'Smelter Look-up'!$J:$J,0),MATCH($B2026&amp;$C2026,'Smelter Look-up'!$J:$J,0)))</f>
        <v>#N/A</v>
      </c>
      <c r="X2026" s="219">
        <f t="shared" ca="1" si="286"/>
        <v>0</v>
      </c>
      <c r="AB2026" s="220" t="str">
        <f t="shared" si="287"/>
        <v/>
      </c>
    </row>
    <row r="2027" spans="1:28" s="219" customFormat="1" ht="20.25">
      <c r="A2027" s="174"/>
      <c r="B2027" s="175" t="str">
        <f>IF(LEN(A2027)=0,"",INDEX('Smelter Look-up'!$A:$A,MATCH($A2027,'Smelter Look-up'!$E:$E,0)))</f>
        <v/>
      </c>
      <c r="C2027" s="179" t="str">
        <f>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285"/>
        <v/>
      </c>
      <c r="T2027" s="174" t="str">
        <f ca="1">IF(B2027="","",IF(ISERROR(MATCH($J2027,SorP!$B$1:$B$6279,0)),"",INDIRECT("'SorP'!$A$"&amp;MATCH($S2027&amp;$J2027,SorP!C:C,0))))</f>
        <v/>
      </c>
      <c r="U2027" s="194"/>
      <c r="V2027" s="218" t="e">
        <f>IF(C2027="",NA(),IF(OR(C2027="Smelter not listed",C2027="Smelter not yet identified"),MATCH($B2027&amp;$D2027,'Smelter Look-up'!$J:$J,0),MATCH($B2027&amp;$C2027,'Smelter Look-up'!$J:$J,0)))</f>
        <v>#N/A</v>
      </c>
      <c r="X2027" s="219">
        <f t="shared" ca="1" si="286"/>
        <v>0</v>
      </c>
      <c r="AB2027" s="220" t="str">
        <f t="shared" si="287"/>
        <v/>
      </c>
    </row>
    <row r="2028" spans="1:28" s="219" customFormat="1" ht="20.25">
      <c r="A2028" s="174"/>
      <c r="B2028" s="175" t="str">
        <f>IF(LEN(A2028)=0,"",INDEX('Smelter Look-up'!$A:$A,MATCH($A2028,'Smelter Look-up'!$E:$E,0)))</f>
        <v/>
      </c>
      <c r="C2028" s="179" t="str">
        <f>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285"/>
        <v/>
      </c>
      <c r="T2028" s="174" t="str">
        <f ca="1">IF(B2028="","",IF(ISERROR(MATCH($J2028,SorP!$B$1:$B$6279,0)),"",INDIRECT("'SorP'!$A$"&amp;MATCH($S2028&amp;$J2028,SorP!C:C,0))))</f>
        <v/>
      </c>
      <c r="U2028" s="194"/>
      <c r="V2028" s="218" t="e">
        <f>IF(C2028="",NA(),IF(OR(C2028="Smelter not listed",C2028="Smelter not yet identified"),MATCH($B2028&amp;$D2028,'Smelter Look-up'!$J:$J,0),MATCH($B2028&amp;$C2028,'Smelter Look-up'!$J:$J,0)))</f>
        <v>#N/A</v>
      </c>
      <c r="X2028" s="219">
        <f t="shared" ca="1" si="286"/>
        <v>0</v>
      </c>
      <c r="AB2028" s="220" t="str">
        <f t="shared" si="287"/>
        <v/>
      </c>
    </row>
    <row r="2029" spans="1:28" s="219" customFormat="1" ht="20.25">
      <c r="A2029" s="174"/>
      <c r="B2029" s="175" t="str">
        <f>IF(LEN(A2029)=0,"",INDEX('Smelter Look-up'!$A:$A,MATCH($A2029,'Smelter Look-up'!$E:$E,0)))</f>
        <v/>
      </c>
      <c r="C2029" s="179" t="str">
        <f>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285"/>
        <v/>
      </c>
      <c r="T2029" s="174" t="str">
        <f ca="1">IF(B2029="","",IF(ISERROR(MATCH($J2029,SorP!$B$1:$B$6279,0)),"",INDIRECT("'SorP'!$A$"&amp;MATCH($S2029&amp;$J2029,SorP!C:C,0))))</f>
        <v/>
      </c>
      <c r="U2029" s="194"/>
      <c r="V2029" s="218" t="e">
        <f>IF(C2029="",NA(),IF(OR(C2029="Smelter not listed",C2029="Smelter not yet identified"),MATCH($B2029&amp;$D2029,'Smelter Look-up'!$J:$J,0),MATCH($B2029&amp;$C2029,'Smelter Look-up'!$J:$J,0)))</f>
        <v>#N/A</v>
      </c>
      <c r="X2029" s="219">
        <f t="shared" ca="1" si="286"/>
        <v>0</v>
      </c>
      <c r="AB2029" s="220" t="str">
        <f t="shared" si="287"/>
        <v/>
      </c>
    </row>
    <row r="2030" spans="1:28" s="219" customFormat="1" ht="20.25">
      <c r="A2030" s="174"/>
      <c r="B2030" s="175" t="str">
        <f>IF(LEN(A2030)=0,"",INDEX('Smelter Look-up'!$A:$A,MATCH($A2030,'Smelter Look-up'!$E:$E,0)))</f>
        <v/>
      </c>
      <c r="C2030" s="179" t="str">
        <f>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285"/>
        <v/>
      </c>
      <c r="T2030" s="174" t="str">
        <f ca="1">IF(B2030="","",IF(ISERROR(MATCH($J2030,SorP!$B$1:$B$6279,0)),"",INDIRECT("'SorP'!$A$"&amp;MATCH($S2030&amp;$J2030,SorP!C:C,0))))</f>
        <v/>
      </c>
      <c r="U2030" s="194"/>
      <c r="V2030" s="218" t="e">
        <f>IF(C2030="",NA(),IF(OR(C2030="Smelter not listed",C2030="Smelter not yet identified"),MATCH($B2030&amp;$D2030,'Smelter Look-up'!$J:$J,0),MATCH($B2030&amp;$C2030,'Smelter Look-up'!$J:$J,0)))</f>
        <v>#N/A</v>
      </c>
      <c r="X2030" s="219">
        <f t="shared" ca="1" si="286"/>
        <v>0</v>
      </c>
      <c r="AB2030" s="220" t="str">
        <f t="shared" si="287"/>
        <v/>
      </c>
    </row>
    <row r="2031" spans="1:28" s="219" customFormat="1" ht="20.25">
      <c r="A2031" s="174"/>
      <c r="B2031" s="175" t="str">
        <f>IF(LEN(A2031)=0,"",INDEX('Smelter Look-up'!$A:$A,MATCH($A2031,'Smelter Look-up'!$E:$E,0)))</f>
        <v/>
      </c>
      <c r="C2031" s="179" t="str">
        <f>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285"/>
        <v/>
      </c>
      <c r="T2031" s="174" t="str">
        <f ca="1">IF(B2031="","",IF(ISERROR(MATCH($J2031,SorP!$B$1:$B$6279,0)),"",INDIRECT("'SorP'!$A$"&amp;MATCH($S2031&amp;$J2031,SorP!C:C,0))))</f>
        <v/>
      </c>
      <c r="U2031" s="194"/>
      <c r="V2031" s="218" t="e">
        <f>IF(C2031="",NA(),IF(OR(C2031="Smelter not listed",C2031="Smelter not yet identified"),MATCH($B2031&amp;$D2031,'Smelter Look-up'!$J:$J,0),MATCH($B2031&amp;$C2031,'Smelter Look-up'!$J:$J,0)))</f>
        <v>#N/A</v>
      </c>
      <c r="X2031" s="219">
        <f t="shared" ca="1" si="286"/>
        <v>0</v>
      </c>
      <c r="AB2031" s="220" t="str">
        <f t="shared" si="287"/>
        <v/>
      </c>
    </row>
    <row r="2032" spans="1:28" s="219" customFormat="1" ht="20.25">
      <c r="A2032" s="174"/>
      <c r="B2032" s="175" t="str">
        <f>IF(LEN(A2032)=0,"",INDEX('Smelter Look-up'!$A:$A,MATCH($A2032,'Smelter Look-up'!$E:$E,0)))</f>
        <v/>
      </c>
      <c r="C2032" s="179" t="str">
        <f>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285"/>
        <v/>
      </c>
      <c r="T2032" s="174" t="str">
        <f ca="1">IF(B2032="","",IF(ISERROR(MATCH($J2032,SorP!$B$1:$B$6279,0)),"",INDIRECT("'SorP'!$A$"&amp;MATCH($S2032&amp;$J2032,SorP!C:C,0))))</f>
        <v/>
      </c>
      <c r="U2032" s="194"/>
      <c r="V2032" s="218" t="e">
        <f>IF(C2032="",NA(),IF(OR(C2032="Smelter not listed",C2032="Smelter not yet identified"),MATCH($B2032&amp;$D2032,'Smelter Look-up'!$J:$J,0),MATCH($B2032&amp;$C2032,'Smelter Look-up'!$J:$J,0)))</f>
        <v>#N/A</v>
      </c>
      <c r="X2032" s="219">
        <f t="shared" ca="1" si="286"/>
        <v>0</v>
      </c>
      <c r="AB2032" s="220" t="str">
        <f t="shared" si="287"/>
        <v/>
      </c>
    </row>
    <row r="2033" spans="1:28" s="219" customFormat="1" ht="20.25">
      <c r="A2033" s="174"/>
      <c r="B2033" s="175" t="str">
        <f>IF(LEN(A2033)=0,"",INDEX('Smelter Look-up'!$A:$A,MATCH($A2033,'Smelter Look-up'!$E:$E,0)))</f>
        <v/>
      </c>
      <c r="C2033" s="179" t="str">
        <f>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285"/>
        <v/>
      </c>
      <c r="T2033" s="174" t="str">
        <f ca="1">IF(B2033="","",IF(ISERROR(MATCH($J2033,SorP!$B$1:$B$6279,0)),"",INDIRECT("'SorP'!$A$"&amp;MATCH($S2033&amp;$J2033,SorP!C:C,0))))</f>
        <v/>
      </c>
      <c r="U2033" s="194"/>
      <c r="V2033" s="218" t="e">
        <f>IF(C2033="",NA(),IF(OR(C2033="Smelter not listed",C2033="Smelter not yet identified"),MATCH($B2033&amp;$D2033,'Smelter Look-up'!$J:$J,0),MATCH($B2033&amp;$C2033,'Smelter Look-up'!$J:$J,0)))</f>
        <v>#N/A</v>
      </c>
      <c r="X2033" s="219">
        <f t="shared" ca="1" si="286"/>
        <v>0</v>
      </c>
      <c r="AB2033" s="220" t="str">
        <f t="shared" si="287"/>
        <v/>
      </c>
    </row>
    <row r="2034" spans="1:28" s="219" customFormat="1" ht="20.25">
      <c r="A2034" s="174"/>
      <c r="B2034" s="175" t="str">
        <f>IF(LEN(A2034)=0,"",INDEX('Smelter Look-up'!$A:$A,MATCH($A2034,'Smelter Look-up'!$E:$E,0)))</f>
        <v/>
      </c>
      <c r="C2034" s="179" t="str">
        <f>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285"/>
        <v/>
      </c>
      <c r="T2034" s="174" t="str">
        <f ca="1">IF(B2034="","",IF(ISERROR(MATCH($J2034,SorP!$B$1:$B$6279,0)),"",INDIRECT("'SorP'!$A$"&amp;MATCH($S2034&amp;$J2034,SorP!C:C,0))))</f>
        <v/>
      </c>
      <c r="U2034" s="194"/>
      <c r="V2034" s="218" t="e">
        <f>IF(C2034="",NA(),IF(OR(C2034="Smelter not listed",C2034="Smelter not yet identified"),MATCH($B2034&amp;$D2034,'Smelter Look-up'!$J:$J,0),MATCH($B2034&amp;$C2034,'Smelter Look-up'!$J:$J,0)))</f>
        <v>#N/A</v>
      </c>
      <c r="X2034" s="219">
        <f t="shared" ca="1" si="286"/>
        <v>0</v>
      </c>
      <c r="AB2034" s="220" t="str">
        <f t="shared" si="287"/>
        <v/>
      </c>
    </row>
    <row r="2035" spans="1:28" s="219" customFormat="1" ht="20.25">
      <c r="A2035" s="174"/>
      <c r="B2035" s="175" t="str">
        <f>IF(LEN(A2035)=0,"",INDEX('Smelter Look-up'!$A:$A,MATCH($A2035,'Smelter Look-up'!$E:$E,0)))</f>
        <v/>
      </c>
      <c r="C2035" s="179" t="str">
        <f>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285"/>
        <v/>
      </c>
      <c r="T2035" s="174" t="str">
        <f ca="1">IF(B2035="","",IF(ISERROR(MATCH($J2035,SorP!$B$1:$B$6279,0)),"",INDIRECT("'SorP'!$A$"&amp;MATCH($S2035&amp;$J2035,SorP!C:C,0))))</f>
        <v/>
      </c>
      <c r="U2035" s="194"/>
      <c r="V2035" s="218" t="e">
        <f>IF(C2035="",NA(),IF(OR(C2035="Smelter not listed",C2035="Smelter not yet identified"),MATCH($B2035&amp;$D2035,'Smelter Look-up'!$J:$J,0),MATCH($B2035&amp;$C2035,'Smelter Look-up'!$J:$J,0)))</f>
        <v>#N/A</v>
      </c>
      <c r="X2035" s="219">
        <f t="shared" ca="1" si="286"/>
        <v>0</v>
      </c>
      <c r="AB2035" s="220" t="str">
        <f t="shared" si="287"/>
        <v/>
      </c>
    </row>
    <row r="2036" spans="1:28" s="219" customFormat="1" ht="20.25">
      <c r="A2036" s="174"/>
      <c r="B2036" s="175" t="str">
        <f>IF(LEN(A2036)=0,"",INDEX('Smelter Look-up'!$A:$A,MATCH($A2036,'Smelter Look-up'!$E:$E,0)))</f>
        <v/>
      </c>
      <c r="C2036" s="179" t="str">
        <f>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285"/>
        <v/>
      </c>
      <c r="T2036" s="174" t="str">
        <f ca="1">IF(B2036="","",IF(ISERROR(MATCH($J2036,SorP!$B$1:$B$6279,0)),"",INDIRECT("'SorP'!$A$"&amp;MATCH($S2036&amp;$J2036,SorP!C:C,0))))</f>
        <v/>
      </c>
      <c r="U2036" s="194"/>
      <c r="V2036" s="218" t="e">
        <f>IF(C2036="",NA(),IF(OR(C2036="Smelter not listed",C2036="Smelter not yet identified"),MATCH($B2036&amp;$D2036,'Smelter Look-up'!$J:$J,0),MATCH($B2036&amp;$C2036,'Smelter Look-up'!$J:$J,0)))</f>
        <v>#N/A</v>
      </c>
      <c r="X2036" s="219">
        <f t="shared" ca="1" si="286"/>
        <v>0</v>
      </c>
      <c r="AB2036" s="220" t="str">
        <f t="shared" si="287"/>
        <v/>
      </c>
    </row>
    <row r="2037" spans="1:28" s="219" customFormat="1" ht="20.25">
      <c r="A2037" s="174"/>
      <c r="B2037" s="175" t="str">
        <f>IF(LEN(A2037)=0,"",INDEX('Smelter Look-up'!$A:$A,MATCH($A2037,'Smelter Look-up'!$E:$E,0)))</f>
        <v/>
      </c>
      <c r="C2037" s="179" t="str">
        <f>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285"/>
        <v/>
      </c>
      <c r="T2037" s="174" t="str">
        <f ca="1">IF(B2037="","",IF(ISERROR(MATCH($J2037,SorP!$B$1:$B$6279,0)),"",INDIRECT("'SorP'!$A$"&amp;MATCH($S2037&amp;$J2037,SorP!C:C,0))))</f>
        <v/>
      </c>
      <c r="U2037" s="194"/>
      <c r="V2037" s="218" t="e">
        <f>IF(C2037="",NA(),IF(OR(C2037="Smelter not listed",C2037="Smelter not yet identified"),MATCH($B2037&amp;$D2037,'Smelter Look-up'!$J:$J,0),MATCH($B2037&amp;$C2037,'Smelter Look-up'!$J:$J,0)))</f>
        <v>#N/A</v>
      </c>
      <c r="X2037" s="219">
        <f t="shared" ca="1" si="286"/>
        <v>0</v>
      </c>
      <c r="AB2037" s="220" t="str">
        <f t="shared" si="287"/>
        <v/>
      </c>
    </row>
    <row r="2038" spans="1:28" s="219" customFormat="1" ht="20.25">
      <c r="A2038" s="174"/>
      <c r="B2038" s="175" t="str">
        <f>IF(LEN(A2038)=0,"",INDEX('Smelter Look-up'!$A:$A,MATCH($A2038,'Smelter Look-up'!$E:$E,0)))</f>
        <v/>
      </c>
      <c r="C2038" s="179" t="str">
        <f>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285"/>
        <v/>
      </c>
      <c r="T2038" s="174" t="str">
        <f ca="1">IF(B2038="","",IF(ISERROR(MATCH($J2038,SorP!$B$1:$B$6279,0)),"",INDIRECT("'SorP'!$A$"&amp;MATCH($S2038&amp;$J2038,SorP!C:C,0))))</f>
        <v/>
      </c>
      <c r="U2038" s="194"/>
      <c r="V2038" s="218" t="e">
        <f>IF(C2038="",NA(),IF(OR(C2038="Smelter not listed",C2038="Smelter not yet identified"),MATCH($B2038&amp;$D2038,'Smelter Look-up'!$J:$J,0),MATCH($B2038&amp;$C2038,'Smelter Look-up'!$J:$J,0)))</f>
        <v>#N/A</v>
      </c>
      <c r="X2038" s="219">
        <f t="shared" ca="1" si="286"/>
        <v>0</v>
      </c>
      <c r="AB2038" s="220" t="str">
        <f t="shared" si="287"/>
        <v/>
      </c>
    </row>
    <row r="2039" spans="1:28" s="219" customFormat="1" ht="20.25">
      <c r="A2039" s="174"/>
      <c r="B2039" s="175" t="str">
        <f>IF(LEN(A2039)=0,"",INDEX('Smelter Look-up'!$A:$A,MATCH($A2039,'Smelter Look-up'!$E:$E,0)))</f>
        <v/>
      </c>
      <c r="C2039" s="179" t="str">
        <f>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285"/>
        <v/>
      </c>
      <c r="T2039" s="174" t="str">
        <f ca="1">IF(B2039="","",IF(ISERROR(MATCH($J2039,SorP!$B$1:$B$6279,0)),"",INDIRECT("'SorP'!$A$"&amp;MATCH($S2039&amp;$J2039,SorP!C:C,0))))</f>
        <v/>
      </c>
      <c r="U2039" s="194"/>
      <c r="V2039" s="218" t="e">
        <f>IF(C2039="",NA(),IF(OR(C2039="Smelter not listed",C2039="Smelter not yet identified"),MATCH($B2039&amp;$D2039,'Smelter Look-up'!$J:$J,0),MATCH($B2039&amp;$C2039,'Smelter Look-up'!$J:$J,0)))</f>
        <v>#N/A</v>
      </c>
      <c r="X2039" s="219">
        <f t="shared" ca="1" si="286"/>
        <v>0</v>
      </c>
      <c r="AB2039" s="220" t="str">
        <f t="shared" si="287"/>
        <v/>
      </c>
    </row>
    <row r="2040" spans="1:28" s="219" customFormat="1" ht="20.25">
      <c r="A2040" s="174"/>
      <c r="B2040" s="175" t="str">
        <f>IF(LEN(A2040)=0,"",INDEX('Smelter Look-up'!$A:$A,MATCH($A2040,'Smelter Look-up'!$E:$E,0)))</f>
        <v/>
      </c>
      <c r="C2040" s="179" t="str">
        <f>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285"/>
        <v/>
      </c>
      <c r="T2040" s="174" t="str">
        <f ca="1">IF(B2040="","",IF(ISERROR(MATCH($J2040,SorP!$B$1:$B$6279,0)),"",INDIRECT("'SorP'!$A$"&amp;MATCH($S2040&amp;$J2040,SorP!C:C,0))))</f>
        <v/>
      </c>
      <c r="U2040" s="194"/>
      <c r="V2040" s="218" t="e">
        <f>IF(C2040="",NA(),IF(OR(C2040="Smelter not listed",C2040="Smelter not yet identified"),MATCH($B2040&amp;$D2040,'Smelter Look-up'!$J:$J,0),MATCH($B2040&amp;$C2040,'Smelter Look-up'!$J:$J,0)))</f>
        <v>#N/A</v>
      </c>
      <c r="X2040" s="219">
        <f t="shared" ca="1" si="286"/>
        <v>0</v>
      </c>
      <c r="AB2040" s="220" t="str">
        <f t="shared" si="287"/>
        <v/>
      </c>
    </row>
    <row r="2041" spans="1:28" s="219" customFormat="1" ht="20.25">
      <c r="A2041" s="174"/>
      <c r="B2041" s="175" t="str">
        <f>IF(LEN(A2041)=0,"",INDEX('Smelter Look-up'!$A:$A,MATCH($A2041,'Smelter Look-up'!$E:$E,0)))</f>
        <v/>
      </c>
      <c r="C2041" s="179" t="str">
        <f>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285"/>
        <v/>
      </c>
      <c r="T2041" s="174" t="str">
        <f ca="1">IF(B2041="","",IF(ISERROR(MATCH($J2041,SorP!$B$1:$B$6279,0)),"",INDIRECT("'SorP'!$A$"&amp;MATCH($S2041&amp;$J2041,SorP!C:C,0))))</f>
        <v/>
      </c>
      <c r="U2041" s="194"/>
      <c r="V2041" s="218" t="e">
        <f>IF(C2041="",NA(),IF(OR(C2041="Smelter not listed",C2041="Smelter not yet identified"),MATCH($B2041&amp;$D2041,'Smelter Look-up'!$J:$J,0),MATCH($B2041&amp;$C2041,'Smelter Look-up'!$J:$J,0)))</f>
        <v>#N/A</v>
      </c>
      <c r="X2041" s="219">
        <f t="shared" ca="1" si="286"/>
        <v>0</v>
      </c>
      <c r="AB2041" s="220" t="str">
        <f t="shared" si="287"/>
        <v/>
      </c>
    </row>
    <row r="2042" spans="1:28" s="219" customFormat="1" ht="20.25">
      <c r="A2042" s="174"/>
      <c r="B2042" s="175" t="str">
        <f>IF(LEN(A2042)=0,"",INDEX('Smelter Look-up'!$A:$A,MATCH($A2042,'Smelter Look-up'!$E:$E,0)))</f>
        <v/>
      </c>
      <c r="C2042" s="179" t="str">
        <f>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ca="1" si="285"/>
        <v/>
      </c>
      <c r="T2042" s="174" t="str">
        <f ca="1">IF(B2042="","",IF(ISERROR(MATCH($J2042,SorP!$B$1:$B$6279,0)),"",INDIRECT("'SorP'!$A$"&amp;MATCH($S2042&amp;$J2042,SorP!C:C,0))))</f>
        <v/>
      </c>
      <c r="U2042" s="194"/>
      <c r="V2042" s="218" t="e">
        <f>IF(C2042="",NA(),IF(OR(C2042="Smelter not listed",C2042="Smelter not yet identified"),MATCH($B2042&amp;$D2042,'Smelter Look-up'!$J:$J,0),MATCH($B2042&amp;$C2042,'Smelter Look-up'!$J:$J,0)))</f>
        <v>#N/A</v>
      </c>
      <c r="X2042" s="219">
        <f t="shared" ca="1" si="286"/>
        <v>0</v>
      </c>
      <c r="AB2042" s="220" t="str">
        <f t="shared" si="287"/>
        <v/>
      </c>
    </row>
    <row r="2043" spans="1:28" s="219" customFormat="1" ht="20.25">
      <c r="A2043" s="174"/>
      <c r="B2043" s="175" t="str">
        <f>IF(LEN(A2043)=0,"",INDEX('Smelter Look-up'!$A:$A,MATCH($A2043,'Smelter Look-up'!$E:$E,0)))</f>
        <v/>
      </c>
      <c r="C2043" s="179" t="str">
        <f>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ref="S2043" ca="1" si="288">IF(B2043="","",IF(ISERROR(MATCH($E2043,CL,0)),"Unknown",INDIRECT("'C'!$A$"&amp;MATCH($E2043,CL,0)+1)))</f>
        <v/>
      </c>
      <c r="T2043" s="174" t="str">
        <f ca="1">IF(B2043="","",IF(ISERROR(MATCH($J2043,SorP!$B$1:$B$6279,0)),"",INDIRECT("'SorP'!$A$"&amp;MATCH($S2043&amp;$J2043,SorP!C:C,0))))</f>
        <v/>
      </c>
      <c r="U2043" s="194"/>
      <c r="V2043" s="218" t="e">
        <f>IF(C2043="",NA(),IF(OR(C2043="Smelter not listed",C2043="Smelter not yet identified"),MATCH($B2043&amp;$D2043,'Smelter Look-up'!$J:$J,0),MATCH($B2043&amp;$C2043,'Smelter Look-up'!$J:$J,0)))</f>
        <v>#N/A</v>
      </c>
      <c r="X2043" s="219">
        <f t="shared" ref="X2043" ca="1" si="289">IF(AND(C2043="Smelter not listed",OR(LEN(D2043)=0,LEN(E2043)=0)),1,0)</f>
        <v>0</v>
      </c>
      <c r="AB2043" s="220" t="str">
        <f t="shared" ref="AB2043" si="290">B2043&amp;C2043</f>
        <v/>
      </c>
    </row>
    <row r="2044" spans="1:28" s="219" customFormat="1" ht="20.25">
      <c r="A2044" s="174"/>
      <c r="B2044" s="175" t="str">
        <f>IF(LEN(A2044)=0,"",INDEX('Smelter Look-up'!$A:$A,MATCH($A2044,'Smelter Look-up'!$E:$E,0)))</f>
        <v/>
      </c>
      <c r="C2044" s="179" t="str">
        <f>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ref="S2044:S2075" ca="1" si="291">IF(B2044="","",IF(ISERROR(MATCH($E2044,CL,0)),"Unknown",INDIRECT("'C'!$A$"&amp;MATCH($E2044,CL,0)+1)))</f>
        <v/>
      </c>
      <c r="T2044" s="174" t="str">
        <f ca="1">IF(B2044="","",IF(ISERROR(MATCH($J2044,SorP!$B$1:$B$6279,0)),"",INDIRECT("'SorP'!$A$"&amp;MATCH($S2044&amp;$J2044,SorP!C:C,0))))</f>
        <v/>
      </c>
      <c r="U2044" s="194"/>
      <c r="V2044" s="218" t="e">
        <f>IF(C2044="",NA(),IF(OR(C2044="Smelter not listed",C2044="Smelter not yet identified"),MATCH($B2044&amp;$D2044,'Smelter Look-up'!$J:$J,0),MATCH($B2044&amp;$C2044,'Smelter Look-up'!$J:$J,0)))</f>
        <v>#N/A</v>
      </c>
      <c r="X2044" s="219">
        <f t="shared" ref="X2044:X2075" ca="1" si="292">IF(AND(C2044="Smelter not listed",OR(LEN(D2044)=0,LEN(E2044)=0)),1,0)</f>
        <v>0</v>
      </c>
      <c r="AB2044" s="220" t="str">
        <f t="shared" ref="AB2044:AB2075" si="293">B2044&amp;C2044</f>
        <v/>
      </c>
    </row>
    <row r="2045" spans="1:28" s="219" customFormat="1" ht="20.25">
      <c r="A2045" s="174"/>
      <c r="B2045" s="175" t="str">
        <f>IF(LEN(A2045)=0,"",INDEX('Smelter Look-up'!$A:$A,MATCH($A2045,'Smelter Look-up'!$E:$E,0)))</f>
        <v/>
      </c>
      <c r="C2045" s="179" t="str">
        <f>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291"/>
        <v/>
      </c>
      <c r="T2045" s="174" t="str">
        <f ca="1">IF(B2045="","",IF(ISERROR(MATCH($J2045,SorP!$B$1:$B$6279,0)),"",INDIRECT("'SorP'!$A$"&amp;MATCH($S2045&amp;$J2045,SorP!C:C,0))))</f>
        <v/>
      </c>
      <c r="U2045" s="194"/>
      <c r="V2045" s="218" t="e">
        <f>IF(C2045="",NA(),IF(OR(C2045="Smelter not listed",C2045="Smelter not yet identified"),MATCH($B2045&amp;$D2045,'Smelter Look-up'!$J:$J,0),MATCH($B2045&amp;$C2045,'Smelter Look-up'!$J:$J,0)))</f>
        <v>#N/A</v>
      </c>
      <c r="X2045" s="219">
        <f t="shared" ca="1" si="292"/>
        <v>0</v>
      </c>
      <c r="AB2045" s="220" t="str">
        <f t="shared" si="293"/>
        <v/>
      </c>
    </row>
    <row r="2046" spans="1:28" s="219" customFormat="1" ht="20.25">
      <c r="A2046" s="174"/>
      <c r="B2046" s="175" t="str">
        <f>IF(LEN(A2046)=0,"",INDEX('Smelter Look-up'!$A:$A,MATCH($A2046,'Smelter Look-up'!$E:$E,0)))</f>
        <v/>
      </c>
      <c r="C2046" s="179" t="str">
        <f>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291"/>
        <v/>
      </c>
      <c r="T2046" s="174" t="str">
        <f ca="1">IF(B2046="","",IF(ISERROR(MATCH($J2046,SorP!$B$1:$B$6279,0)),"",INDIRECT("'SorP'!$A$"&amp;MATCH($S2046&amp;$J2046,SorP!C:C,0))))</f>
        <v/>
      </c>
      <c r="U2046" s="194"/>
      <c r="V2046" s="218" t="e">
        <f>IF(C2046="",NA(),IF(OR(C2046="Smelter not listed",C2046="Smelter not yet identified"),MATCH($B2046&amp;$D2046,'Smelter Look-up'!$J:$J,0),MATCH($B2046&amp;$C2046,'Smelter Look-up'!$J:$J,0)))</f>
        <v>#N/A</v>
      </c>
      <c r="X2046" s="219">
        <f t="shared" ca="1" si="292"/>
        <v>0</v>
      </c>
      <c r="AB2046" s="220" t="str">
        <f t="shared" si="293"/>
        <v/>
      </c>
    </row>
    <row r="2047" spans="1:28" s="219" customFormat="1" ht="20.25">
      <c r="A2047" s="174"/>
      <c r="B2047" s="175" t="str">
        <f>IF(LEN(A2047)=0,"",INDEX('Smelter Look-up'!$A:$A,MATCH($A2047,'Smelter Look-up'!$E:$E,0)))</f>
        <v/>
      </c>
      <c r="C2047" s="179" t="str">
        <f>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291"/>
        <v/>
      </c>
      <c r="T2047" s="174" t="str">
        <f ca="1">IF(B2047="","",IF(ISERROR(MATCH($J2047,SorP!$B$1:$B$6279,0)),"",INDIRECT("'SorP'!$A$"&amp;MATCH($S2047&amp;$J2047,SorP!C:C,0))))</f>
        <v/>
      </c>
      <c r="U2047" s="194"/>
      <c r="V2047" s="218" t="e">
        <f>IF(C2047="",NA(),IF(OR(C2047="Smelter not listed",C2047="Smelter not yet identified"),MATCH($B2047&amp;$D2047,'Smelter Look-up'!$J:$J,0),MATCH($B2047&amp;$C2047,'Smelter Look-up'!$J:$J,0)))</f>
        <v>#N/A</v>
      </c>
      <c r="X2047" s="219">
        <f t="shared" ca="1" si="292"/>
        <v>0</v>
      </c>
      <c r="AB2047" s="220" t="str">
        <f t="shared" si="293"/>
        <v/>
      </c>
    </row>
    <row r="2048" spans="1:28" s="219" customFormat="1" ht="20.25">
      <c r="A2048" s="174"/>
      <c r="B2048" s="175" t="str">
        <f>IF(LEN(A2048)=0,"",INDEX('Smelter Look-up'!$A:$A,MATCH($A2048,'Smelter Look-up'!$E:$E,0)))</f>
        <v/>
      </c>
      <c r="C2048" s="179" t="str">
        <f>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291"/>
        <v/>
      </c>
      <c r="T2048" s="174" t="str">
        <f ca="1">IF(B2048="","",IF(ISERROR(MATCH($J2048,SorP!$B$1:$B$6279,0)),"",INDIRECT("'SorP'!$A$"&amp;MATCH($S2048&amp;$J2048,SorP!C:C,0))))</f>
        <v/>
      </c>
      <c r="U2048" s="194"/>
      <c r="V2048" s="218" t="e">
        <f>IF(C2048="",NA(),IF(OR(C2048="Smelter not listed",C2048="Smelter not yet identified"),MATCH($B2048&amp;$D2048,'Smelter Look-up'!$J:$J,0),MATCH($B2048&amp;$C2048,'Smelter Look-up'!$J:$J,0)))</f>
        <v>#N/A</v>
      </c>
      <c r="X2048" s="219">
        <f t="shared" ca="1" si="292"/>
        <v>0</v>
      </c>
      <c r="AB2048" s="220" t="str">
        <f t="shared" si="293"/>
        <v/>
      </c>
    </row>
    <row r="2049" spans="1:28" s="219" customFormat="1" ht="20.25">
      <c r="A2049" s="174"/>
      <c r="B2049" s="175" t="str">
        <f>IF(LEN(A2049)=0,"",INDEX('Smelter Look-up'!$A:$A,MATCH($A2049,'Smelter Look-up'!$E:$E,0)))</f>
        <v/>
      </c>
      <c r="C2049" s="179" t="str">
        <f>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291"/>
        <v/>
      </c>
      <c r="T2049" s="174" t="str">
        <f ca="1">IF(B2049="","",IF(ISERROR(MATCH($J2049,SorP!$B$1:$B$6279,0)),"",INDIRECT("'SorP'!$A$"&amp;MATCH($S2049&amp;$J2049,SorP!C:C,0))))</f>
        <v/>
      </c>
      <c r="U2049" s="194"/>
      <c r="V2049" s="218" t="e">
        <f>IF(C2049="",NA(),IF(OR(C2049="Smelter not listed",C2049="Smelter not yet identified"),MATCH($B2049&amp;$D2049,'Smelter Look-up'!$J:$J,0),MATCH($B2049&amp;$C2049,'Smelter Look-up'!$J:$J,0)))</f>
        <v>#N/A</v>
      </c>
      <c r="X2049" s="219">
        <f t="shared" ca="1" si="292"/>
        <v>0</v>
      </c>
      <c r="AB2049" s="220" t="str">
        <f t="shared" si="293"/>
        <v/>
      </c>
    </row>
    <row r="2050" spans="1:28" s="219" customFormat="1" ht="20.25">
      <c r="A2050" s="174"/>
      <c r="B2050" s="175" t="str">
        <f>IF(LEN(A2050)=0,"",INDEX('Smelter Look-up'!$A:$A,MATCH($A2050,'Smelter Look-up'!$E:$E,0)))</f>
        <v/>
      </c>
      <c r="C2050" s="179" t="str">
        <f>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291"/>
        <v/>
      </c>
      <c r="T2050" s="174" t="str">
        <f ca="1">IF(B2050="","",IF(ISERROR(MATCH($J2050,SorP!$B$1:$B$6279,0)),"",INDIRECT("'SorP'!$A$"&amp;MATCH($S2050&amp;$J2050,SorP!C:C,0))))</f>
        <v/>
      </c>
      <c r="U2050" s="194"/>
      <c r="V2050" s="218" t="e">
        <f>IF(C2050="",NA(),IF(OR(C2050="Smelter not listed",C2050="Smelter not yet identified"),MATCH($B2050&amp;$D2050,'Smelter Look-up'!$J:$J,0),MATCH($B2050&amp;$C2050,'Smelter Look-up'!$J:$J,0)))</f>
        <v>#N/A</v>
      </c>
      <c r="X2050" s="219">
        <f t="shared" ca="1" si="292"/>
        <v>0</v>
      </c>
      <c r="AB2050" s="220" t="str">
        <f t="shared" si="293"/>
        <v/>
      </c>
    </row>
    <row r="2051" spans="1:28" s="219" customFormat="1" ht="20.25">
      <c r="A2051" s="174"/>
      <c r="B2051" s="175" t="str">
        <f>IF(LEN(A2051)=0,"",INDEX('Smelter Look-up'!$A:$A,MATCH($A2051,'Smelter Look-up'!$E:$E,0)))</f>
        <v/>
      </c>
      <c r="C2051" s="179" t="str">
        <f>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291"/>
        <v/>
      </c>
      <c r="T2051" s="174" t="str">
        <f ca="1">IF(B2051="","",IF(ISERROR(MATCH($J2051,SorP!$B$1:$B$6279,0)),"",INDIRECT("'SorP'!$A$"&amp;MATCH($S2051&amp;$J2051,SorP!C:C,0))))</f>
        <v/>
      </c>
      <c r="U2051" s="194"/>
      <c r="V2051" s="218" t="e">
        <f>IF(C2051="",NA(),IF(OR(C2051="Smelter not listed",C2051="Smelter not yet identified"),MATCH($B2051&amp;$D2051,'Smelter Look-up'!$J:$J,0),MATCH($B2051&amp;$C2051,'Smelter Look-up'!$J:$J,0)))</f>
        <v>#N/A</v>
      </c>
      <c r="X2051" s="219">
        <f t="shared" ca="1" si="292"/>
        <v>0</v>
      </c>
      <c r="AB2051" s="220" t="str">
        <f t="shared" si="293"/>
        <v/>
      </c>
    </row>
    <row r="2052" spans="1:28" s="219" customFormat="1" ht="20.25">
      <c r="A2052" s="174"/>
      <c r="B2052" s="175" t="str">
        <f>IF(LEN(A2052)=0,"",INDEX('Smelter Look-up'!$A:$A,MATCH($A2052,'Smelter Look-up'!$E:$E,0)))</f>
        <v/>
      </c>
      <c r="C2052" s="179" t="str">
        <f>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291"/>
        <v/>
      </c>
      <c r="T2052" s="174" t="str">
        <f ca="1">IF(B2052="","",IF(ISERROR(MATCH($J2052,SorP!$B$1:$B$6279,0)),"",INDIRECT("'SorP'!$A$"&amp;MATCH($S2052&amp;$J2052,SorP!C:C,0))))</f>
        <v/>
      </c>
      <c r="U2052" s="194"/>
      <c r="V2052" s="218" t="e">
        <f>IF(C2052="",NA(),IF(OR(C2052="Smelter not listed",C2052="Smelter not yet identified"),MATCH($B2052&amp;$D2052,'Smelter Look-up'!$J:$J,0),MATCH($B2052&amp;$C2052,'Smelter Look-up'!$J:$J,0)))</f>
        <v>#N/A</v>
      </c>
      <c r="X2052" s="219">
        <f t="shared" ca="1" si="292"/>
        <v>0</v>
      </c>
      <c r="AB2052" s="220" t="str">
        <f t="shared" si="293"/>
        <v/>
      </c>
    </row>
    <row r="2053" spans="1:28" s="219" customFormat="1" ht="20.25">
      <c r="A2053" s="174"/>
      <c r="B2053" s="175" t="str">
        <f>IF(LEN(A2053)=0,"",INDEX('Smelter Look-up'!$A:$A,MATCH($A2053,'Smelter Look-up'!$E:$E,0)))</f>
        <v/>
      </c>
      <c r="C2053" s="179" t="str">
        <f>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291"/>
        <v/>
      </c>
      <c r="T2053" s="174" t="str">
        <f ca="1">IF(B2053="","",IF(ISERROR(MATCH($J2053,SorP!$B$1:$B$6279,0)),"",INDIRECT("'SorP'!$A$"&amp;MATCH($S2053&amp;$J2053,SorP!C:C,0))))</f>
        <v/>
      </c>
      <c r="U2053" s="194"/>
      <c r="V2053" s="218" t="e">
        <f>IF(C2053="",NA(),IF(OR(C2053="Smelter not listed",C2053="Smelter not yet identified"),MATCH($B2053&amp;$D2053,'Smelter Look-up'!$J:$J,0),MATCH($B2053&amp;$C2053,'Smelter Look-up'!$J:$J,0)))</f>
        <v>#N/A</v>
      </c>
      <c r="X2053" s="219">
        <f t="shared" ca="1" si="292"/>
        <v>0</v>
      </c>
      <c r="AB2053" s="220" t="str">
        <f t="shared" si="293"/>
        <v/>
      </c>
    </row>
    <row r="2054" spans="1:28" s="219" customFormat="1" ht="20.25">
      <c r="A2054" s="174"/>
      <c r="B2054" s="175" t="str">
        <f>IF(LEN(A2054)=0,"",INDEX('Smelter Look-up'!$A:$A,MATCH($A2054,'Smelter Look-up'!$E:$E,0)))</f>
        <v/>
      </c>
      <c r="C2054" s="179" t="str">
        <f>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291"/>
        <v/>
      </c>
      <c r="T2054" s="174" t="str">
        <f ca="1">IF(B2054="","",IF(ISERROR(MATCH($J2054,SorP!$B$1:$B$6279,0)),"",INDIRECT("'SorP'!$A$"&amp;MATCH($S2054&amp;$J2054,SorP!C:C,0))))</f>
        <v/>
      </c>
      <c r="U2054" s="194"/>
      <c r="V2054" s="218" t="e">
        <f>IF(C2054="",NA(),IF(OR(C2054="Smelter not listed",C2054="Smelter not yet identified"),MATCH($B2054&amp;$D2054,'Smelter Look-up'!$J:$J,0),MATCH($B2054&amp;$C2054,'Smelter Look-up'!$J:$J,0)))</f>
        <v>#N/A</v>
      </c>
      <c r="X2054" s="219">
        <f t="shared" ca="1" si="292"/>
        <v>0</v>
      </c>
      <c r="AB2054" s="220" t="str">
        <f t="shared" si="293"/>
        <v/>
      </c>
    </row>
    <row r="2055" spans="1:28" s="219" customFormat="1" ht="20.25">
      <c r="A2055" s="174"/>
      <c r="B2055" s="175" t="str">
        <f>IF(LEN(A2055)=0,"",INDEX('Smelter Look-up'!$A:$A,MATCH($A2055,'Smelter Look-up'!$E:$E,0)))</f>
        <v/>
      </c>
      <c r="C2055" s="179" t="str">
        <f>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291"/>
        <v/>
      </c>
      <c r="T2055" s="174" t="str">
        <f ca="1">IF(B2055="","",IF(ISERROR(MATCH($J2055,SorP!$B$1:$B$6279,0)),"",INDIRECT("'SorP'!$A$"&amp;MATCH($S2055&amp;$J2055,SorP!C:C,0))))</f>
        <v/>
      </c>
      <c r="U2055" s="194"/>
      <c r="V2055" s="218" t="e">
        <f>IF(C2055="",NA(),IF(OR(C2055="Smelter not listed",C2055="Smelter not yet identified"),MATCH($B2055&amp;$D2055,'Smelter Look-up'!$J:$J,0),MATCH($B2055&amp;$C2055,'Smelter Look-up'!$J:$J,0)))</f>
        <v>#N/A</v>
      </c>
      <c r="X2055" s="219">
        <f t="shared" ca="1" si="292"/>
        <v>0</v>
      </c>
      <c r="AB2055" s="220" t="str">
        <f t="shared" si="293"/>
        <v/>
      </c>
    </row>
    <row r="2056" spans="1:28" s="219" customFormat="1" ht="20.25">
      <c r="A2056" s="174"/>
      <c r="B2056" s="175" t="str">
        <f>IF(LEN(A2056)=0,"",INDEX('Smelter Look-up'!$A:$A,MATCH($A2056,'Smelter Look-up'!$E:$E,0)))</f>
        <v/>
      </c>
      <c r="C2056" s="179" t="str">
        <f>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291"/>
        <v/>
      </c>
      <c r="T2056" s="174" t="str">
        <f ca="1">IF(B2056="","",IF(ISERROR(MATCH($J2056,SorP!$B$1:$B$6279,0)),"",INDIRECT("'SorP'!$A$"&amp;MATCH($S2056&amp;$J2056,SorP!C:C,0))))</f>
        <v/>
      </c>
      <c r="U2056" s="194"/>
      <c r="V2056" s="218" t="e">
        <f>IF(C2056="",NA(),IF(OR(C2056="Smelter not listed",C2056="Smelter not yet identified"),MATCH($B2056&amp;$D2056,'Smelter Look-up'!$J:$J,0),MATCH($B2056&amp;$C2056,'Smelter Look-up'!$J:$J,0)))</f>
        <v>#N/A</v>
      </c>
      <c r="X2056" s="219">
        <f t="shared" ca="1" si="292"/>
        <v>0</v>
      </c>
      <c r="AB2056" s="220" t="str">
        <f t="shared" si="293"/>
        <v/>
      </c>
    </row>
    <row r="2057" spans="1:28" s="219" customFormat="1" ht="20.25">
      <c r="A2057" s="174"/>
      <c r="B2057" s="175" t="str">
        <f>IF(LEN(A2057)=0,"",INDEX('Smelter Look-up'!$A:$A,MATCH($A2057,'Smelter Look-up'!$E:$E,0)))</f>
        <v/>
      </c>
      <c r="C2057" s="179" t="str">
        <f>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291"/>
        <v/>
      </c>
      <c r="T2057" s="174" t="str">
        <f ca="1">IF(B2057="","",IF(ISERROR(MATCH($J2057,SorP!$B$1:$B$6279,0)),"",INDIRECT("'SorP'!$A$"&amp;MATCH($S2057&amp;$J2057,SorP!C:C,0))))</f>
        <v/>
      </c>
      <c r="U2057" s="194"/>
      <c r="V2057" s="218" t="e">
        <f>IF(C2057="",NA(),IF(OR(C2057="Smelter not listed",C2057="Smelter not yet identified"),MATCH($B2057&amp;$D2057,'Smelter Look-up'!$J:$J,0),MATCH($B2057&amp;$C2057,'Smelter Look-up'!$J:$J,0)))</f>
        <v>#N/A</v>
      </c>
      <c r="X2057" s="219">
        <f t="shared" ca="1" si="292"/>
        <v>0</v>
      </c>
      <c r="AB2057" s="220" t="str">
        <f t="shared" si="293"/>
        <v/>
      </c>
    </row>
    <row r="2058" spans="1:28" s="219" customFormat="1" ht="20.25">
      <c r="A2058" s="174"/>
      <c r="B2058" s="175" t="str">
        <f>IF(LEN(A2058)=0,"",INDEX('Smelter Look-up'!$A:$A,MATCH($A2058,'Smelter Look-up'!$E:$E,0)))</f>
        <v/>
      </c>
      <c r="C2058" s="179" t="str">
        <f>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291"/>
        <v/>
      </c>
      <c r="T2058" s="174" t="str">
        <f ca="1">IF(B2058="","",IF(ISERROR(MATCH($J2058,SorP!$B$1:$B$6279,0)),"",INDIRECT("'SorP'!$A$"&amp;MATCH($S2058&amp;$J2058,SorP!C:C,0))))</f>
        <v/>
      </c>
      <c r="U2058" s="194"/>
      <c r="V2058" s="218" t="e">
        <f>IF(C2058="",NA(),IF(OR(C2058="Smelter not listed",C2058="Smelter not yet identified"),MATCH($B2058&amp;$D2058,'Smelter Look-up'!$J:$J,0),MATCH($B2058&amp;$C2058,'Smelter Look-up'!$J:$J,0)))</f>
        <v>#N/A</v>
      </c>
      <c r="X2058" s="219">
        <f t="shared" ca="1" si="292"/>
        <v>0</v>
      </c>
      <c r="AB2058" s="220" t="str">
        <f t="shared" si="293"/>
        <v/>
      </c>
    </row>
    <row r="2059" spans="1:28" s="219" customFormat="1" ht="20.25">
      <c r="A2059" s="174"/>
      <c r="B2059" s="175" t="str">
        <f>IF(LEN(A2059)=0,"",INDEX('Smelter Look-up'!$A:$A,MATCH($A2059,'Smelter Look-up'!$E:$E,0)))</f>
        <v/>
      </c>
      <c r="C2059" s="179" t="str">
        <f>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291"/>
        <v/>
      </c>
      <c r="T2059" s="174" t="str">
        <f ca="1">IF(B2059="","",IF(ISERROR(MATCH($J2059,SorP!$B$1:$B$6279,0)),"",INDIRECT("'SorP'!$A$"&amp;MATCH($S2059&amp;$J2059,SorP!C:C,0))))</f>
        <v/>
      </c>
      <c r="U2059" s="194"/>
      <c r="V2059" s="218" t="e">
        <f>IF(C2059="",NA(),IF(OR(C2059="Smelter not listed",C2059="Smelter not yet identified"),MATCH($B2059&amp;$D2059,'Smelter Look-up'!$J:$J,0),MATCH($B2059&amp;$C2059,'Smelter Look-up'!$J:$J,0)))</f>
        <v>#N/A</v>
      </c>
      <c r="X2059" s="219">
        <f t="shared" ca="1" si="292"/>
        <v>0</v>
      </c>
      <c r="AB2059" s="220" t="str">
        <f t="shared" si="293"/>
        <v/>
      </c>
    </row>
    <row r="2060" spans="1:28" s="219" customFormat="1" ht="20.25">
      <c r="A2060" s="174"/>
      <c r="B2060" s="175" t="str">
        <f>IF(LEN(A2060)=0,"",INDEX('Smelter Look-up'!$A:$A,MATCH($A2060,'Smelter Look-up'!$E:$E,0)))</f>
        <v/>
      </c>
      <c r="C2060" s="179" t="str">
        <f>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291"/>
        <v/>
      </c>
      <c r="T2060" s="174" t="str">
        <f ca="1">IF(B2060="","",IF(ISERROR(MATCH($J2060,SorP!$B$1:$B$6279,0)),"",INDIRECT("'SorP'!$A$"&amp;MATCH($S2060&amp;$J2060,SorP!C:C,0))))</f>
        <v/>
      </c>
      <c r="U2060" s="194"/>
      <c r="V2060" s="218" t="e">
        <f>IF(C2060="",NA(),IF(OR(C2060="Smelter not listed",C2060="Smelter not yet identified"),MATCH($B2060&amp;$D2060,'Smelter Look-up'!$J:$J,0),MATCH($B2060&amp;$C2060,'Smelter Look-up'!$J:$J,0)))</f>
        <v>#N/A</v>
      </c>
      <c r="X2060" s="219">
        <f t="shared" ca="1" si="292"/>
        <v>0</v>
      </c>
      <c r="AB2060" s="220" t="str">
        <f t="shared" si="293"/>
        <v/>
      </c>
    </row>
    <row r="2061" spans="1:28" s="219" customFormat="1" ht="20.25">
      <c r="A2061" s="174"/>
      <c r="B2061" s="175" t="str">
        <f>IF(LEN(A2061)=0,"",INDEX('Smelter Look-up'!$A:$A,MATCH($A2061,'Smelter Look-up'!$E:$E,0)))</f>
        <v/>
      </c>
      <c r="C2061" s="179" t="str">
        <f>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291"/>
        <v/>
      </c>
      <c r="T2061" s="174" t="str">
        <f ca="1">IF(B2061="","",IF(ISERROR(MATCH($J2061,SorP!$B$1:$B$6279,0)),"",INDIRECT("'SorP'!$A$"&amp;MATCH($S2061&amp;$J2061,SorP!C:C,0))))</f>
        <v/>
      </c>
      <c r="U2061" s="194"/>
      <c r="V2061" s="218" t="e">
        <f>IF(C2061="",NA(),IF(OR(C2061="Smelter not listed",C2061="Smelter not yet identified"),MATCH($B2061&amp;$D2061,'Smelter Look-up'!$J:$J,0),MATCH($B2061&amp;$C2061,'Smelter Look-up'!$J:$J,0)))</f>
        <v>#N/A</v>
      </c>
      <c r="X2061" s="219">
        <f t="shared" ca="1" si="292"/>
        <v>0</v>
      </c>
      <c r="AB2061" s="220" t="str">
        <f t="shared" si="293"/>
        <v/>
      </c>
    </row>
    <row r="2062" spans="1:28" s="219" customFormat="1" ht="20.25">
      <c r="A2062" s="174"/>
      <c r="B2062" s="175" t="str">
        <f>IF(LEN(A2062)=0,"",INDEX('Smelter Look-up'!$A:$A,MATCH($A2062,'Smelter Look-up'!$E:$E,0)))</f>
        <v/>
      </c>
      <c r="C2062" s="179" t="str">
        <f>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291"/>
        <v/>
      </c>
      <c r="T2062" s="174" t="str">
        <f ca="1">IF(B2062="","",IF(ISERROR(MATCH($J2062,SorP!$B$1:$B$6279,0)),"",INDIRECT("'SorP'!$A$"&amp;MATCH($S2062&amp;$J2062,SorP!C:C,0))))</f>
        <v/>
      </c>
      <c r="U2062" s="194"/>
      <c r="V2062" s="218" t="e">
        <f>IF(C2062="",NA(),IF(OR(C2062="Smelter not listed",C2062="Smelter not yet identified"),MATCH($B2062&amp;$D2062,'Smelter Look-up'!$J:$J,0),MATCH($B2062&amp;$C2062,'Smelter Look-up'!$J:$J,0)))</f>
        <v>#N/A</v>
      </c>
      <c r="X2062" s="219">
        <f t="shared" ca="1" si="292"/>
        <v>0</v>
      </c>
      <c r="AB2062" s="220" t="str">
        <f t="shared" si="293"/>
        <v/>
      </c>
    </row>
    <row r="2063" spans="1:28" s="219" customFormat="1" ht="20.25">
      <c r="A2063" s="174"/>
      <c r="B2063" s="175" t="str">
        <f>IF(LEN(A2063)=0,"",INDEX('Smelter Look-up'!$A:$A,MATCH($A2063,'Smelter Look-up'!$E:$E,0)))</f>
        <v/>
      </c>
      <c r="C2063" s="179" t="str">
        <f>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291"/>
        <v/>
      </c>
      <c r="T2063" s="174" t="str">
        <f ca="1">IF(B2063="","",IF(ISERROR(MATCH($J2063,SorP!$B$1:$B$6279,0)),"",INDIRECT("'SorP'!$A$"&amp;MATCH($S2063&amp;$J2063,SorP!C:C,0))))</f>
        <v/>
      </c>
      <c r="U2063" s="194"/>
      <c r="V2063" s="218" t="e">
        <f>IF(C2063="",NA(),IF(OR(C2063="Smelter not listed",C2063="Smelter not yet identified"),MATCH($B2063&amp;$D2063,'Smelter Look-up'!$J:$J,0),MATCH($B2063&amp;$C2063,'Smelter Look-up'!$J:$J,0)))</f>
        <v>#N/A</v>
      </c>
      <c r="X2063" s="219">
        <f t="shared" ca="1" si="292"/>
        <v>0</v>
      </c>
      <c r="AB2063" s="220" t="str">
        <f t="shared" si="293"/>
        <v/>
      </c>
    </row>
    <row r="2064" spans="1:28" s="219" customFormat="1" ht="20.25">
      <c r="A2064" s="174"/>
      <c r="B2064" s="175" t="str">
        <f>IF(LEN(A2064)=0,"",INDEX('Smelter Look-up'!$A:$A,MATCH($A2064,'Smelter Look-up'!$E:$E,0)))</f>
        <v/>
      </c>
      <c r="C2064" s="179" t="str">
        <f>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291"/>
        <v/>
      </c>
      <c r="T2064" s="174" t="str">
        <f ca="1">IF(B2064="","",IF(ISERROR(MATCH($J2064,SorP!$B$1:$B$6279,0)),"",INDIRECT("'SorP'!$A$"&amp;MATCH($S2064&amp;$J2064,SorP!C:C,0))))</f>
        <v/>
      </c>
      <c r="U2064" s="194"/>
      <c r="V2064" s="218" t="e">
        <f>IF(C2064="",NA(),IF(OR(C2064="Smelter not listed",C2064="Smelter not yet identified"),MATCH($B2064&amp;$D2064,'Smelter Look-up'!$J:$J,0),MATCH($B2064&amp;$C2064,'Smelter Look-up'!$J:$J,0)))</f>
        <v>#N/A</v>
      </c>
      <c r="X2064" s="219">
        <f t="shared" ca="1" si="292"/>
        <v>0</v>
      </c>
      <c r="AB2064" s="220" t="str">
        <f t="shared" si="293"/>
        <v/>
      </c>
    </row>
    <row r="2065" spans="1:28" s="219" customFormat="1" ht="20.25">
      <c r="A2065" s="174"/>
      <c r="B2065" s="175" t="str">
        <f>IF(LEN(A2065)=0,"",INDEX('Smelter Look-up'!$A:$A,MATCH($A2065,'Smelter Look-up'!$E:$E,0)))</f>
        <v/>
      </c>
      <c r="C2065" s="179" t="str">
        <f>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291"/>
        <v/>
      </c>
      <c r="T2065" s="174" t="str">
        <f ca="1">IF(B2065="","",IF(ISERROR(MATCH($J2065,SorP!$B$1:$B$6279,0)),"",INDIRECT("'SorP'!$A$"&amp;MATCH($S2065&amp;$J2065,SorP!C:C,0))))</f>
        <v/>
      </c>
      <c r="U2065" s="194"/>
      <c r="V2065" s="218" t="e">
        <f>IF(C2065="",NA(),IF(OR(C2065="Smelter not listed",C2065="Smelter not yet identified"),MATCH($B2065&amp;$D2065,'Smelter Look-up'!$J:$J,0),MATCH($B2065&amp;$C2065,'Smelter Look-up'!$J:$J,0)))</f>
        <v>#N/A</v>
      </c>
      <c r="X2065" s="219">
        <f t="shared" ca="1" si="292"/>
        <v>0</v>
      </c>
      <c r="AB2065" s="220" t="str">
        <f t="shared" si="293"/>
        <v/>
      </c>
    </row>
    <row r="2066" spans="1:28" s="219" customFormat="1" ht="20.25">
      <c r="A2066" s="174"/>
      <c r="B2066" s="175" t="str">
        <f>IF(LEN(A2066)=0,"",INDEX('Smelter Look-up'!$A:$A,MATCH($A2066,'Smelter Look-up'!$E:$E,0)))</f>
        <v/>
      </c>
      <c r="C2066" s="179" t="str">
        <f>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291"/>
        <v/>
      </c>
      <c r="T2066" s="174" t="str">
        <f ca="1">IF(B2066="","",IF(ISERROR(MATCH($J2066,SorP!$B$1:$B$6279,0)),"",INDIRECT("'SorP'!$A$"&amp;MATCH($S2066&amp;$J2066,SorP!C:C,0))))</f>
        <v/>
      </c>
      <c r="U2066" s="194"/>
      <c r="V2066" s="218" t="e">
        <f>IF(C2066="",NA(),IF(OR(C2066="Smelter not listed",C2066="Smelter not yet identified"),MATCH($B2066&amp;$D2066,'Smelter Look-up'!$J:$J,0),MATCH($B2066&amp;$C2066,'Smelter Look-up'!$J:$J,0)))</f>
        <v>#N/A</v>
      </c>
      <c r="X2066" s="219">
        <f t="shared" ca="1" si="292"/>
        <v>0</v>
      </c>
      <c r="AB2066" s="220" t="str">
        <f t="shared" si="293"/>
        <v/>
      </c>
    </row>
    <row r="2067" spans="1:28" s="219" customFormat="1" ht="20.25">
      <c r="A2067" s="174"/>
      <c r="B2067" s="175" t="str">
        <f>IF(LEN(A2067)=0,"",INDEX('Smelter Look-up'!$A:$A,MATCH($A2067,'Smelter Look-up'!$E:$E,0)))</f>
        <v/>
      </c>
      <c r="C2067" s="179" t="str">
        <f>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291"/>
        <v/>
      </c>
      <c r="T2067" s="174" t="str">
        <f ca="1">IF(B2067="","",IF(ISERROR(MATCH($J2067,SorP!$B$1:$B$6279,0)),"",INDIRECT("'SorP'!$A$"&amp;MATCH($S2067&amp;$J2067,SorP!C:C,0))))</f>
        <v/>
      </c>
      <c r="U2067" s="194"/>
      <c r="V2067" s="218" t="e">
        <f>IF(C2067="",NA(),IF(OR(C2067="Smelter not listed",C2067="Smelter not yet identified"),MATCH($B2067&amp;$D2067,'Smelter Look-up'!$J:$J,0),MATCH($B2067&amp;$C2067,'Smelter Look-up'!$J:$J,0)))</f>
        <v>#N/A</v>
      </c>
      <c r="X2067" s="219">
        <f t="shared" ca="1" si="292"/>
        <v>0</v>
      </c>
      <c r="AB2067" s="220" t="str">
        <f t="shared" si="293"/>
        <v/>
      </c>
    </row>
    <row r="2068" spans="1:28" s="219" customFormat="1" ht="20.25">
      <c r="A2068" s="174"/>
      <c r="B2068" s="175" t="str">
        <f>IF(LEN(A2068)=0,"",INDEX('Smelter Look-up'!$A:$A,MATCH($A2068,'Smelter Look-up'!$E:$E,0)))</f>
        <v/>
      </c>
      <c r="C2068" s="179" t="str">
        <f>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291"/>
        <v/>
      </c>
      <c r="T2068" s="174" t="str">
        <f ca="1">IF(B2068="","",IF(ISERROR(MATCH($J2068,SorP!$B$1:$B$6279,0)),"",INDIRECT("'SorP'!$A$"&amp;MATCH($S2068&amp;$J2068,SorP!C:C,0))))</f>
        <v/>
      </c>
      <c r="U2068" s="194"/>
      <c r="V2068" s="218" t="e">
        <f>IF(C2068="",NA(),IF(OR(C2068="Smelter not listed",C2068="Smelter not yet identified"),MATCH($B2068&amp;$D2068,'Smelter Look-up'!$J:$J,0),MATCH($B2068&amp;$C2068,'Smelter Look-up'!$J:$J,0)))</f>
        <v>#N/A</v>
      </c>
      <c r="X2068" s="219">
        <f t="shared" ca="1" si="292"/>
        <v>0</v>
      </c>
      <c r="AB2068" s="220" t="str">
        <f t="shared" si="293"/>
        <v/>
      </c>
    </row>
    <row r="2069" spans="1:28" s="219" customFormat="1" ht="20.25">
      <c r="A2069" s="174"/>
      <c r="B2069" s="175" t="str">
        <f>IF(LEN(A2069)=0,"",INDEX('Smelter Look-up'!$A:$A,MATCH($A2069,'Smelter Look-up'!$E:$E,0)))</f>
        <v/>
      </c>
      <c r="C2069" s="179" t="str">
        <f>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291"/>
        <v/>
      </c>
      <c r="T2069" s="174" t="str">
        <f ca="1">IF(B2069="","",IF(ISERROR(MATCH($J2069,SorP!$B$1:$B$6279,0)),"",INDIRECT("'SorP'!$A$"&amp;MATCH($S2069&amp;$J2069,SorP!C:C,0))))</f>
        <v/>
      </c>
      <c r="U2069" s="194"/>
      <c r="V2069" s="218" t="e">
        <f>IF(C2069="",NA(),IF(OR(C2069="Smelter not listed",C2069="Smelter not yet identified"),MATCH($B2069&amp;$D2069,'Smelter Look-up'!$J:$J,0),MATCH($B2069&amp;$C2069,'Smelter Look-up'!$J:$J,0)))</f>
        <v>#N/A</v>
      </c>
      <c r="X2069" s="219">
        <f t="shared" ca="1" si="292"/>
        <v>0</v>
      </c>
      <c r="AB2069" s="220" t="str">
        <f t="shared" si="293"/>
        <v/>
      </c>
    </row>
    <row r="2070" spans="1:28" s="219" customFormat="1" ht="20.25">
      <c r="A2070" s="174"/>
      <c r="B2070" s="175" t="str">
        <f>IF(LEN(A2070)=0,"",INDEX('Smelter Look-up'!$A:$A,MATCH($A2070,'Smelter Look-up'!$E:$E,0)))</f>
        <v/>
      </c>
      <c r="C2070" s="179" t="str">
        <f>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291"/>
        <v/>
      </c>
      <c r="T2070" s="174" t="str">
        <f ca="1">IF(B2070="","",IF(ISERROR(MATCH($J2070,SorP!$B$1:$B$6279,0)),"",INDIRECT("'SorP'!$A$"&amp;MATCH($S2070&amp;$J2070,SorP!C:C,0))))</f>
        <v/>
      </c>
      <c r="U2070" s="194"/>
      <c r="V2070" s="218" t="e">
        <f>IF(C2070="",NA(),IF(OR(C2070="Smelter not listed",C2070="Smelter not yet identified"),MATCH($B2070&amp;$D2070,'Smelter Look-up'!$J:$J,0),MATCH($B2070&amp;$C2070,'Smelter Look-up'!$J:$J,0)))</f>
        <v>#N/A</v>
      </c>
      <c r="X2070" s="219">
        <f t="shared" ca="1" si="292"/>
        <v>0</v>
      </c>
      <c r="AB2070" s="220" t="str">
        <f t="shared" si="293"/>
        <v/>
      </c>
    </row>
    <row r="2071" spans="1:28" s="219" customFormat="1" ht="20.25">
      <c r="A2071" s="174"/>
      <c r="B2071" s="175" t="str">
        <f>IF(LEN(A2071)=0,"",INDEX('Smelter Look-up'!$A:$A,MATCH($A2071,'Smelter Look-up'!$E:$E,0)))</f>
        <v/>
      </c>
      <c r="C2071" s="179" t="str">
        <f>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291"/>
        <v/>
      </c>
      <c r="T2071" s="174" t="str">
        <f ca="1">IF(B2071="","",IF(ISERROR(MATCH($J2071,SorP!$B$1:$B$6279,0)),"",INDIRECT("'SorP'!$A$"&amp;MATCH($S2071&amp;$J2071,SorP!C:C,0))))</f>
        <v/>
      </c>
      <c r="U2071" s="194"/>
      <c r="V2071" s="218" t="e">
        <f>IF(C2071="",NA(),IF(OR(C2071="Smelter not listed",C2071="Smelter not yet identified"),MATCH($B2071&amp;$D2071,'Smelter Look-up'!$J:$J,0),MATCH($B2071&amp;$C2071,'Smelter Look-up'!$J:$J,0)))</f>
        <v>#N/A</v>
      </c>
      <c r="X2071" s="219">
        <f t="shared" ca="1" si="292"/>
        <v>0</v>
      </c>
      <c r="AB2071" s="220" t="str">
        <f t="shared" si="293"/>
        <v/>
      </c>
    </row>
    <row r="2072" spans="1:28" s="219" customFormat="1" ht="20.25">
      <c r="A2072" s="174"/>
      <c r="B2072" s="175" t="str">
        <f>IF(LEN(A2072)=0,"",INDEX('Smelter Look-up'!$A:$A,MATCH($A2072,'Smelter Look-up'!$E:$E,0)))</f>
        <v/>
      </c>
      <c r="C2072" s="179" t="str">
        <f>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291"/>
        <v/>
      </c>
      <c r="T2072" s="174" t="str">
        <f ca="1">IF(B2072="","",IF(ISERROR(MATCH($J2072,SorP!$B$1:$B$6279,0)),"",INDIRECT("'SorP'!$A$"&amp;MATCH($S2072&amp;$J2072,SorP!C:C,0))))</f>
        <v/>
      </c>
      <c r="U2072" s="194"/>
      <c r="V2072" s="218" t="e">
        <f>IF(C2072="",NA(),IF(OR(C2072="Smelter not listed",C2072="Smelter not yet identified"),MATCH($B2072&amp;$D2072,'Smelter Look-up'!$J:$J,0),MATCH($B2072&amp;$C2072,'Smelter Look-up'!$J:$J,0)))</f>
        <v>#N/A</v>
      </c>
      <c r="X2072" s="219">
        <f t="shared" ca="1" si="292"/>
        <v>0</v>
      </c>
      <c r="AB2072" s="220" t="str">
        <f t="shared" si="293"/>
        <v/>
      </c>
    </row>
    <row r="2073" spans="1:28" s="219" customFormat="1" ht="20.25">
      <c r="A2073" s="174"/>
      <c r="B2073" s="175" t="str">
        <f>IF(LEN(A2073)=0,"",INDEX('Smelter Look-up'!$A:$A,MATCH($A2073,'Smelter Look-up'!$E:$E,0)))</f>
        <v/>
      </c>
      <c r="C2073" s="179" t="str">
        <f>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291"/>
        <v/>
      </c>
      <c r="T2073" s="174" t="str">
        <f ca="1">IF(B2073="","",IF(ISERROR(MATCH($J2073,SorP!$B$1:$B$6279,0)),"",INDIRECT("'SorP'!$A$"&amp;MATCH($S2073&amp;$J2073,SorP!C:C,0))))</f>
        <v/>
      </c>
      <c r="U2073" s="194"/>
      <c r="V2073" s="218" t="e">
        <f>IF(C2073="",NA(),IF(OR(C2073="Smelter not listed",C2073="Smelter not yet identified"),MATCH($B2073&amp;$D2073,'Smelter Look-up'!$J:$J,0),MATCH($B2073&amp;$C2073,'Smelter Look-up'!$J:$J,0)))</f>
        <v>#N/A</v>
      </c>
      <c r="X2073" s="219">
        <f t="shared" ca="1" si="292"/>
        <v>0</v>
      </c>
      <c r="AB2073" s="220" t="str">
        <f t="shared" si="293"/>
        <v/>
      </c>
    </row>
    <row r="2074" spans="1:28" s="219" customFormat="1" ht="20.25">
      <c r="A2074" s="174"/>
      <c r="B2074" s="175" t="str">
        <f>IF(LEN(A2074)=0,"",INDEX('Smelter Look-up'!$A:$A,MATCH($A2074,'Smelter Look-up'!$E:$E,0)))</f>
        <v/>
      </c>
      <c r="C2074" s="179" t="str">
        <f>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291"/>
        <v/>
      </c>
      <c r="T2074" s="174" t="str">
        <f ca="1">IF(B2074="","",IF(ISERROR(MATCH($J2074,SorP!$B$1:$B$6279,0)),"",INDIRECT("'SorP'!$A$"&amp;MATCH($S2074&amp;$J2074,SorP!C:C,0))))</f>
        <v/>
      </c>
      <c r="U2074" s="194"/>
      <c r="V2074" s="218" t="e">
        <f>IF(C2074="",NA(),IF(OR(C2074="Smelter not listed",C2074="Smelter not yet identified"),MATCH($B2074&amp;$D2074,'Smelter Look-up'!$J:$J,0),MATCH($B2074&amp;$C2074,'Smelter Look-up'!$J:$J,0)))</f>
        <v>#N/A</v>
      </c>
      <c r="X2074" s="219">
        <f t="shared" ca="1" si="292"/>
        <v>0</v>
      </c>
      <c r="AB2074" s="220" t="str">
        <f t="shared" si="293"/>
        <v/>
      </c>
    </row>
    <row r="2075" spans="1:28" s="219" customFormat="1" ht="20.25">
      <c r="A2075" s="174"/>
      <c r="B2075" s="175" t="str">
        <f>IF(LEN(A2075)=0,"",INDEX('Smelter Look-up'!$A:$A,MATCH($A2075,'Smelter Look-up'!$E:$E,0)))</f>
        <v/>
      </c>
      <c r="C2075" s="179" t="str">
        <f>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291"/>
        <v/>
      </c>
      <c r="T2075" s="174" t="str">
        <f ca="1">IF(B2075="","",IF(ISERROR(MATCH($J2075,SorP!$B$1:$B$6279,0)),"",INDIRECT("'SorP'!$A$"&amp;MATCH($S2075&amp;$J2075,SorP!C:C,0))))</f>
        <v/>
      </c>
      <c r="U2075" s="194"/>
      <c r="V2075" s="218" t="e">
        <f>IF(C2075="",NA(),IF(OR(C2075="Smelter not listed",C2075="Smelter not yet identified"),MATCH($B2075&amp;$D2075,'Smelter Look-up'!$J:$J,0),MATCH($B2075&amp;$C2075,'Smelter Look-up'!$J:$J,0)))</f>
        <v>#N/A</v>
      </c>
      <c r="X2075" s="219">
        <f t="shared" ca="1" si="292"/>
        <v>0</v>
      </c>
      <c r="AB2075" s="220" t="str">
        <f t="shared" si="293"/>
        <v/>
      </c>
    </row>
    <row r="2076" spans="1:28" s="219" customFormat="1" ht="20.25">
      <c r="A2076" s="174"/>
      <c r="B2076" s="175" t="str">
        <f>IF(LEN(A2076)=0,"",INDEX('Smelter Look-up'!$A:$A,MATCH($A2076,'Smelter Look-up'!$E:$E,0)))</f>
        <v/>
      </c>
      <c r="C2076" s="179" t="str">
        <f>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ref="S2076:S2106" ca="1" si="294">IF(B2076="","",IF(ISERROR(MATCH($E2076,CL,0)),"Unknown",INDIRECT("'C'!$A$"&amp;MATCH($E2076,CL,0)+1)))</f>
        <v/>
      </c>
      <c r="T2076" s="174" t="str">
        <f ca="1">IF(B2076="","",IF(ISERROR(MATCH($J2076,SorP!$B$1:$B$6279,0)),"",INDIRECT("'SorP'!$A$"&amp;MATCH($S2076&amp;$J2076,SorP!C:C,0))))</f>
        <v/>
      </c>
      <c r="U2076" s="194"/>
      <c r="V2076" s="218" t="e">
        <f>IF(C2076="",NA(),IF(OR(C2076="Smelter not listed",C2076="Smelter not yet identified"),MATCH($B2076&amp;$D2076,'Smelter Look-up'!$J:$J,0),MATCH($B2076&amp;$C2076,'Smelter Look-up'!$J:$J,0)))</f>
        <v>#N/A</v>
      </c>
      <c r="X2076" s="219">
        <f t="shared" ref="X2076:X2106" ca="1" si="295">IF(AND(C2076="Smelter not listed",OR(LEN(D2076)=0,LEN(E2076)=0)),1,0)</f>
        <v>0</v>
      </c>
      <c r="AB2076" s="220" t="str">
        <f t="shared" ref="AB2076:AB2106" si="296">B2076&amp;C2076</f>
        <v/>
      </c>
    </row>
    <row r="2077" spans="1:28" s="219" customFormat="1" ht="20.25">
      <c r="A2077" s="174"/>
      <c r="B2077" s="175" t="str">
        <f>IF(LEN(A2077)=0,"",INDEX('Smelter Look-up'!$A:$A,MATCH($A2077,'Smelter Look-up'!$E:$E,0)))</f>
        <v/>
      </c>
      <c r="C2077" s="179" t="str">
        <f>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294"/>
        <v/>
      </c>
      <c r="T2077" s="174" t="str">
        <f ca="1">IF(B2077="","",IF(ISERROR(MATCH($J2077,SorP!$B$1:$B$6279,0)),"",INDIRECT("'SorP'!$A$"&amp;MATCH($S2077&amp;$J2077,SorP!C:C,0))))</f>
        <v/>
      </c>
      <c r="U2077" s="194"/>
      <c r="V2077" s="218" t="e">
        <f>IF(C2077="",NA(),IF(OR(C2077="Smelter not listed",C2077="Smelter not yet identified"),MATCH($B2077&amp;$D2077,'Smelter Look-up'!$J:$J,0),MATCH($B2077&amp;$C2077,'Smelter Look-up'!$J:$J,0)))</f>
        <v>#N/A</v>
      </c>
      <c r="X2077" s="219">
        <f t="shared" ca="1" si="295"/>
        <v>0</v>
      </c>
      <c r="AB2077" s="220" t="str">
        <f t="shared" si="296"/>
        <v/>
      </c>
    </row>
    <row r="2078" spans="1:28" s="219" customFormat="1" ht="20.25">
      <c r="A2078" s="174"/>
      <c r="B2078" s="175" t="str">
        <f>IF(LEN(A2078)=0,"",INDEX('Smelter Look-up'!$A:$A,MATCH($A2078,'Smelter Look-up'!$E:$E,0)))</f>
        <v/>
      </c>
      <c r="C2078" s="179" t="str">
        <f>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294"/>
        <v/>
      </c>
      <c r="T2078" s="174" t="str">
        <f ca="1">IF(B2078="","",IF(ISERROR(MATCH($J2078,SorP!$B$1:$B$6279,0)),"",INDIRECT("'SorP'!$A$"&amp;MATCH($S2078&amp;$J2078,SorP!C:C,0))))</f>
        <v/>
      </c>
      <c r="U2078" s="194"/>
      <c r="V2078" s="218" t="e">
        <f>IF(C2078="",NA(),IF(OR(C2078="Smelter not listed",C2078="Smelter not yet identified"),MATCH($B2078&amp;$D2078,'Smelter Look-up'!$J:$J,0),MATCH($B2078&amp;$C2078,'Smelter Look-up'!$J:$J,0)))</f>
        <v>#N/A</v>
      </c>
      <c r="X2078" s="219">
        <f t="shared" ca="1" si="295"/>
        <v>0</v>
      </c>
      <c r="AB2078" s="220" t="str">
        <f t="shared" si="296"/>
        <v/>
      </c>
    </row>
    <row r="2079" spans="1:28" s="219" customFormat="1" ht="20.25">
      <c r="A2079" s="174"/>
      <c r="B2079" s="175" t="str">
        <f>IF(LEN(A2079)=0,"",INDEX('Smelter Look-up'!$A:$A,MATCH($A2079,'Smelter Look-up'!$E:$E,0)))</f>
        <v/>
      </c>
      <c r="C2079" s="179" t="str">
        <f>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294"/>
        <v/>
      </c>
      <c r="T2079" s="174" t="str">
        <f ca="1">IF(B2079="","",IF(ISERROR(MATCH($J2079,SorP!$B$1:$B$6279,0)),"",INDIRECT("'SorP'!$A$"&amp;MATCH($S2079&amp;$J2079,SorP!C:C,0))))</f>
        <v/>
      </c>
      <c r="U2079" s="194"/>
      <c r="V2079" s="218" t="e">
        <f>IF(C2079="",NA(),IF(OR(C2079="Smelter not listed",C2079="Smelter not yet identified"),MATCH($B2079&amp;$D2079,'Smelter Look-up'!$J:$J,0),MATCH($B2079&amp;$C2079,'Smelter Look-up'!$J:$J,0)))</f>
        <v>#N/A</v>
      </c>
      <c r="X2079" s="219">
        <f t="shared" ca="1" si="295"/>
        <v>0</v>
      </c>
      <c r="AB2079" s="220" t="str">
        <f t="shared" si="296"/>
        <v/>
      </c>
    </row>
    <row r="2080" spans="1:28" s="219" customFormat="1" ht="20.25">
      <c r="A2080" s="174"/>
      <c r="B2080" s="175" t="str">
        <f>IF(LEN(A2080)=0,"",INDEX('Smelter Look-up'!$A:$A,MATCH($A2080,'Smelter Look-up'!$E:$E,0)))</f>
        <v/>
      </c>
      <c r="C2080" s="179" t="str">
        <f>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294"/>
        <v/>
      </c>
      <c r="T2080" s="174" t="str">
        <f ca="1">IF(B2080="","",IF(ISERROR(MATCH($J2080,SorP!$B$1:$B$6279,0)),"",INDIRECT("'SorP'!$A$"&amp;MATCH($S2080&amp;$J2080,SorP!C:C,0))))</f>
        <v/>
      </c>
      <c r="U2080" s="194"/>
      <c r="V2080" s="218" t="e">
        <f>IF(C2080="",NA(),IF(OR(C2080="Smelter not listed",C2080="Smelter not yet identified"),MATCH($B2080&amp;$D2080,'Smelter Look-up'!$J:$J,0),MATCH($B2080&amp;$C2080,'Smelter Look-up'!$J:$J,0)))</f>
        <v>#N/A</v>
      </c>
      <c r="X2080" s="219">
        <f t="shared" ca="1" si="295"/>
        <v>0</v>
      </c>
      <c r="AB2080" s="220" t="str">
        <f t="shared" si="296"/>
        <v/>
      </c>
    </row>
    <row r="2081" spans="1:28" s="219" customFormat="1" ht="20.25">
      <c r="A2081" s="174"/>
      <c r="B2081" s="175" t="str">
        <f>IF(LEN(A2081)=0,"",INDEX('Smelter Look-up'!$A:$A,MATCH($A2081,'Smelter Look-up'!$E:$E,0)))</f>
        <v/>
      </c>
      <c r="C2081" s="179" t="str">
        <f>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294"/>
        <v/>
      </c>
      <c r="T2081" s="174" t="str">
        <f ca="1">IF(B2081="","",IF(ISERROR(MATCH($J2081,SorP!$B$1:$B$6279,0)),"",INDIRECT("'SorP'!$A$"&amp;MATCH($S2081&amp;$J2081,SorP!C:C,0))))</f>
        <v/>
      </c>
      <c r="U2081" s="194"/>
      <c r="V2081" s="218" t="e">
        <f>IF(C2081="",NA(),IF(OR(C2081="Smelter not listed",C2081="Smelter not yet identified"),MATCH($B2081&amp;$D2081,'Smelter Look-up'!$J:$J,0),MATCH($B2081&amp;$C2081,'Smelter Look-up'!$J:$J,0)))</f>
        <v>#N/A</v>
      </c>
      <c r="X2081" s="219">
        <f t="shared" ca="1" si="295"/>
        <v>0</v>
      </c>
      <c r="AB2081" s="220" t="str">
        <f t="shared" si="296"/>
        <v/>
      </c>
    </row>
    <row r="2082" spans="1:28" s="219" customFormat="1" ht="20.25">
      <c r="A2082" s="174"/>
      <c r="B2082" s="175" t="str">
        <f>IF(LEN(A2082)=0,"",INDEX('Smelter Look-up'!$A:$A,MATCH($A2082,'Smelter Look-up'!$E:$E,0)))</f>
        <v/>
      </c>
      <c r="C2082" s="179" t="str">
        <f>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294"/>
        <v/>
      </c>
      <c r="T2082" s="174" t="str">
        <f ca="1">IF(B2082="","",IF(ISERROR(MATCH($J2082,SorP!$B$1:$B$6279,0)),"",INDIRECT("'SorP'!$A$"&amp;MATCH($S2082&amp;$J2082,SorP!C:C,0))))</f>
        <v/>
      </c>
      <c r="U2082" s="194"/>
      <c r="V2082" s="218" t="e">
        <f>IF(C2082="",NA(),IF(OR(C2082="Smelter not listed",C2082="Smelter not yet identified"),MATCH($B2082&amp;$D2082,'Smelter Look-up'!$J:$J,0),MATCH($B2082&amp;$C2082,'Smelter Look-up'!$J:$J,0)))</f>
        <v>#N/A</v>
      </c>
      <c r="X2082" s="219">
        <f t="shared" ca="1" si="295"/>
        <v>0</v>
      </c>
      <c r="AB2082" s="220" t="str">
        <f t="shared" si="296"/>
        <v/>
      </c>
    </row>
    <row r="2083" spans="1:28" s="219" customFormat="1" ht="20.25">
      <c r="A2083" s="174"/>
      <c r="B2083" s="175" t="str">
        <f>IF(LEN(A2083)=0,"",INDEX('Smelter Look-up'!$A:$A,MATCH($A2083,'Smelter Look-up'!$E:$E,0)))</f>
        <v/>
      </c>
      <c r="C2083" s="179" t="str">
        <f>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294"/>
        <v/>
      </c>
      <c r="T2083" s="174" t="str">
        <f ca="1">IF(B2083="","",IF(ISERROR(MATCH($J2083,SorP!$B$1:$B$6279,0)),"",INDIRECT("'SorP'!$A$"&amp;MATCH($S2083&amp;$J2083,SorP!C:C,0))))</f>
        <v/>
      </c>
      <c r="U2083" s="194"/>
      <c r="V2083" s="218" t="e">
        <f>IF(C2083="",NA(),IF(OR(C2083="Smelter not listed",C2083="Smelter not yet identified"),MATCH($B2083&amp;$D2083,'Smelter Look-up'!$J:$J,0),MATCH($B2083&amp;$C2083,'Smelter Look-up'!$J:$J,0)))</f>
        <v>#N/A</v>
      </c>
      <c r="X2083" s="219">
        <f t="shared" ca="1" si="295"/>
        <v>0</v>
      </c>
      <c r="AB2083" s="220" t="str">
        <f t="shared" si="296"/>
        <v/>
      </c>
    </row>
    <row r="2084" spans="1:28" s="219" customFormat="1" ht="20.25">
      <c r="A2084" s="174"/>
      <c r="B2084" s="175" t="str">
        <f>IF(LEN(A2084)=0,"",INDEX('Smelter Look-up'!$A:$A,MATCH($A2084,'Smelter Look-up'!$E:$E,0)))</f>
        <v/>
      </c>
      <c r="C2084" s="179" t="str">
        <f>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294"/>
        <v/>
      </c>
      <c r="T2084" s="174" t="str">
        <f ca="1">IF(B2084="","",IF(ISERROR(MATCH($J2084,SorP!$B$1:$B$6279,0)),"",INDIRECT("'SorP'!$A$"&amp;MATCH($S2084&amp;$J2084,SorP!C:C,0))))</f>
        <v/>
      </c>
      <c r="U2084" s="194"/>
      <c r="V2084" s="218" t="e">
        <f>IF(C2084="",NA(),IF(OR(C2084="Smelter not listed",C2084="Smelter not yet identified"),MATCH($B2084&amp;$D2084,'Smelter Look-up'!$J:$J,0),MATCH($B2084&amp;$C2084,'Smelter Look-up'!$J:$J,0)))</f>
        <v>#N/A</v>
      </c>
      <c r="X2084" s="219">
        <f t="shared" ca="1" si="295"/>
        <v>0</v>
      </c>
      <c r="AB2084" s="220" t="str">
        <f t="shared" si="296"/>
        <v/>
      </c>
    </row>
    <row r="2085" spans="1:28" s="219" customFormat="1" ht="20.25">
      <c r="A2085" s="174"/>
      <c r="B2085" s="175" t="str">
        <f>IF(LEN(A2085)=0,"",INDEX('Smelter Look-up'!$A:$A,MATCH($A2085,'Smelter Look-up'!$E:$E,0)))</f>
        <v/>
      </c>
      <c r="C2085" s="179" t="str">
        <f>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294"/>
        <v/>
      </c>
      <c r="T2085" s="174" t="str">
        <f ca="1">IF(B2085="","",IF(ISERROR(MATCH($J2085,SorP!$B$1:$B$6279,0)),"",INDIRECT("'SorP'!$A$"&amp;MATCH($S2085&amp;$J2085,SorP!C:C,0))))</f>
        <v/>
      </c>
      <c r="U2085" s="194"/>
      <c r="V2085" s="218" t="e">
        <f>IF(C2085="",NA(),IF(OR(C2085="Smelter not listed",C2085="Smelter not yet identified"),MATCH($B2085&amp;$D2085,'Smelter Look-up'!$J:$J,0),MATCH($B2085&amp;$C2085,'Smelter Look-up'!$J:$J,0)))</f>
        <v>#N/A</v>
      </c>
      <c r="X2085" s="219">
        <f t="shared" ca="1" si="295"/>
        <v>0</v>
      </c>
      <c r="AB2085" s="220" t="str">
        <f t="shared" si="296"/>
        <v/>
      </c>
    </row>
    <row r="2086" spans="1:28" s="219" customFormat="1" ht="20.25">
      <c r="A2086" s="174"/>
      <c r="B2086" s="175" t="str">
        <f>IF(LEN(A2086)=0,"",INDEX('Smelter Look-up'!$A:$A,MATCH($A2086,'Smelter Look-up'!$E:$E,0)))</f>
        <v/>
      </c>
      <c r="C2086" s="179" t="str">
        <f>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294"/>
        <v/>
      </c>
      <c r="T2086" s="174" t="str">
        <f ca="1">IF(B2086="","",IF(ISERROR(MATCH($J2086,SorP!$B$1:$B$6279,0)),"",INDIRECT("'SorP'!$A$"&amp;MATCH($S2086&amp;$J2086,SorP!C:C,0))))</f>
        <v/>
      </c>
      <c r="U2086" s="194"/>
      <c r="V2086" s="218" t="e">
        <f>IF(C2086="",NA(),IF(OR(C2086="Smelter not listed",C2086="Smelter not yet identified"),MATCH($B2086&amp;$D2086,'Smelter Look-up'!$J:$J,0),MATCH($B2086&amp;$C2086,'Smelter Look-up'!$J:$J,0)))</f>
        <v>#N/A</v>
      </c>
      <c r="X2086" s="219">
        <f t="shared" ca="1" si="295"/>
        <v>0</v>
      </c>
      <c r="AB2086" s="220" t="str">
        <f t="shared" si="296"/>
        <v/>
      </c>
    </row>
    <row r="2087" spans="1:28" s="219" customFormat="1" ht="20.25">
      <c r="A2087" s="174"/>
      <c r="B2087" s="175" t="str">
        <f>IF(LEN(A2087)=0,"",INDEX('Smelter Look-up'!$A:$A,MATCH($A2087,'Smelter Look-up'!$E:$E,0)))</f>
        <v/>
      </c>
      <c r="C2087" s="179" t="str">
        <f>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294"/>
        <v/>
      </c>
      <c r="T2087" s="174" t="str">
        <f ca="1">IF(B2087="","",IF(ISERROR(MATCH($J2087,SorP!$B$1:$B$6279,0)),"",INDIRECT("'SorP'!$A$"&amp;MATCH($S2087&amp;$J2087,SorP!C:C,0))))</f>
        <v/>
      </c>
      <c r="U2087" s="194"/>
      <c r="V2087" s="218" t="e">
        <f>IF(C2087="",NA(),IF(OR(C2087="Smelter not listed",C2087="Smelter not yet identified"),MATCH($B2087&amp;$D2087,'Smelter Look-up'!$J:$J,0),MATCH($B2087&amp;$C2087,'Smelter Look-up'!$J:$J,0)))</f>
        <v>#N/A</v>
      </c>
      <c r="X2087" s="219">
        <f t="shared" ca="1" si="295"/>
        <v>0</v>
      </c>
      <c r="AB2087" s="220" t="str">
        <f t="shared" si="296"/>
        <v/>
      </c>
    </row>
    <row r="2088" spans="1:28" s="219" customFormat="1" ht="20.25">
      <c r="A2088" s="174"/>
      <c r="B2088" s="175" t="str">
        <f>IF(LEN(A2088)=0,"",INDEX('Smelter Look-up'!$A:$A,MATCH($A2088,'Smelter Look-up'!$E:$E,0)))</f>
        <v/>
      </c>
      <c r="C2088" s="179" t="str">
        <f>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294"/>
        <v/>
      </c>
      <c r="T2088" s="174" t="str">
        <f ca="1">IF(B2088="","",IF(ISERROR(MATCH($J2088,SorP!$B$1:$B$6279,0)),"",INDIRECT("'SorP'!$A$"&amp;MATCH($S2088&amp;$J2088,SorP!C:C,0))))</f>
        <v/>
      </c>
      <c r="U2088" s="194"/>
      <c r="V2088" s="218" t="e">
        <f>IF(C2088="",NA(),IF(OR(C2088="Smelter not listed",C2088="Smelter not yet identified"),MATCH($B2088&amp;$D2088,'Smelter Look-up'!$J:$J,0),MATCH($B2088&amp;$C2088,'Smelter Look-up'!$J:$J,0)))</f>
        <v>#N/A</v>
      </c>
      <c r="X2088" s="219">
        <f t="shared" ca="1" si="295"/>
        <v>0</v>
      </c>
      <c r="AB2088" s="220" t="str">
        <f t="shared" si="296"/>
        <v/>
      </c>
    </row>
    <row r="2089" spans="1:28" s="219" customFormat="1" ht="20.25">
      <c r="A2089" s="174"/>
      <c r="B2089" s="175" t="str">
        <f>IF(LEN(A2089)=0,"",INDEX('Smelter Look-up'!$A:$A,MATCH($A2089,'Smelter Look-up'!$E:$E,0)))</f>
        <v/>
      </c>
      <c r="C2089" s="179" t="str">
        <f>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294"/>
        <v/>
      </c>
      <c r="T2089" s="174" t="str">
        <f ca="1">IF(B2089="","",IF(ISERROR(MATCH($J2089,SorP!$B$1:$B$6279,0)),"",INDIRECT("'SorP'!$A$"&amp;MATCH($S2089&amp;$J2089,SorP!C:C,0))))</f>
        <v/>
      </c>
      <c r="U2089" s="194"/>
      <c r="V2089" s="218" t="e">
        <f>IF(C2089="",NA(),IF(OR(C2089="Smelter not listed",C2089="Smelter not yet identified"),MATCH($B2089&amp;$D2089,'Smelter Look-up'!$J:$J,0),MATCH($B2089&amp;$C2089,'Smelter Look-up'!$J:$J,0)))</f>
        <v>#N/A</v>
      </c>
      <c r="X2089" s="219">
        <f t="shared" ca="1" si="295"/>
        <v>0</v>
      </c>
      <c r="AB2089" s="220" t="str">
        <f t="shared" si="296"/>
        <v/>
      </c>
    </row>
    <row r="2090" spans="1:28" s="219" customFormat="1" ht="20.25">
      <c r="A2090" s="174"/>
      <c r="B2090" s="175" t="str">
        <f>IF(LEN(A2090)=0,"",INDEX('Smelter Look-up'!$A:$A,MATCH($A2090,'Smelter Look-up'!$E:$E,0)))</f>
        <v/>
      </c>
      <c r="C2090" s="179" t="str">
        <f>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294"/>
        <v/>
      </c>
      <c r="T2090" s="174" t="str">
        <f ca="1">IF(B2090="","",IF(ISERROR(MATCH($J2090,SorP!$B$1:$B$6279,0)),"",INDIRECT("'SorP'!$A$"&amp;MATCH($S2090&amp;$J2090,SorP!C:C,0))))</f>
        <v/>
      </c>
      <c r="U2090" s="194"/>
      <c r="V2090" s="218" t="e">
        <f>IF(C2090="",NA(),IF(OR(C2090="Smelter not listed",C2090="Smelter not yet identified"),MATCH($B2090&amp;$D2090,'Smelter Look-up'!$J:$J,0),MATCH($B2090&amp;$C2090,'Smelter Look-up'!$J:$J,0)))</f>
        <v>#N/A</v>
      </c>
      <c r="X2090" s="219">
        <f t="shared" ca="1" si="295"/>
        <v>0</v>
      </c>
      <c r="AB2090" s="220" t="str">
        <f t="shared" si="296"/>
        <v/>
      </c>
    </row>
    <row r="2091" spans="1:28" s="219" customFormat="1" ht="20.25">
      <c r="A2091" s="174"/>
      <c r="B2091" s="175" t="str">
        <f>IF(LEN(A2091)=0,"",INDEX('Smelter Look-up'!$A:$A,MATCH($A2091,'Smelter Look-up'!$E:$E,0)))</f>
        <v/>
      </c>
      <c r="C2091" s="179" t="str">
        <f>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294"/>
        <v/>
      </c>
      <c r="T2091" s="174" t="str">
        <f ca="1">IF(B2091="","",IF(ISERROR(MATCH($J2091,SorP!$B$1:$B$6279,0)),"",INDIRECT("'SorP'!$A$"&amp;MATCH($S2091&amp;$J2091,SorP!C:C,0))))</f>
        <v/>
      </c>
      <c r="U2091" s="194"/>
      <c r="V2091" s="218" t="e">
        <f>IF(C2091="",NA(),IF(OR(C2091="Smelter not listed",C2091="Smelter not yet identified"),MATCH($B2091&amp;$D2091,'Smelter Look-up'!$J:$J,0),MATCH($B2091&amp;$C2091,'Smelter Look-up'!$J:$J,0)))</f>
        <v>#N/A</v>
      </c>
      <c r="X2091" s="219">
        <f t="shared" ca="1" si="295"/>
        <v>0</v>
      </c>
      <c r="AB2091" s="220" t="str">
        <f t="shared" si="296"/>
        <v/>
      </c>
    </row>
    <row r="2092" spans="1:28" s="219" customFormat="1" ht="20.25">
      <c r="A2092" s="174"/>
      <c r="B2092" s="175" t="str">
        <f>IF(LEN(A2092)=0,"",INDEX('Smelter Look-up'!$A:$A,MATCH($A2092,'Smelter Look-up'!$E:$E,0)))</f>
        <v/>
      </c>
      <c r="C2092" s="179" t="str">
        <f>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294"/>
        <v/>
      </c>
      <c r="T2092" s="174" t="str">
        <f ca="1">IF(B2092="","",IF(ISERROR(MATCH($J2092,SorP!$B$1:$B$6279,0)),"",INDIRECT("'SorP'!$A$"&amp;MATCH($S2092&amp;$J2092,SorP!C:C,0))))</f>
        <v/>
      </c>
      <c r="U2092" s="194"/>
      <c r="V2092" s="218" t="e">
        <f>IF(C2092="",NA(),IF(OR(C2092="Smelter not listed",C2092="Smelter not yet identified"),MATCH($B2092&amp;$D2092,'Smelter Look-up'!$J:$J,0),MATCH($B2092&amp;$C2092,'Smelter Look-up'!$J:$J,0)))</f>
        <v>#N/A</v>
      </c>
      <c r="X2092" s="219">
        <f t="shared" ca="1" si="295"/>
        <v>0</v>
      </c>
      <c r="AB2092" s="220" t="str">
        <f t="shared" si="296"/>
        <v/>
      </c>
    </row>
    <row r="2093" spans="1:28" s="219" customFormat="1" ht="20.25">
      <c r="A2093" s="174"/>
      <c r="B2093" s="175" t="str">
        <f>IF(LEN(A2093)=0,"",INDEX('Smelter Look-up'!$A:$A,MATCH($A2093,'Smelter Look-up'!$E:$E,0)))</f>
        <v/>
      </c>
      <c r="C2093" s="179" t="str">
        <f>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294"/>
        <v/>
      </c>
      <c r="T2093" s="174" t="str">
        <f ca="1">IF(B2093="","",IF(ISERROR(MATCH($J2093,SorP!$B$1:$B$6279,0)),"",INDIRECT("'SorP'!$A$"&amp;MATCH($S2093&amp;$J2093,SorP!C:C,0))))</f>
        <v/>
      </c>
      <c r="U2093" s="194"/>
      <c r="V2093" s="218" t="e">
        <f>IF(C2093="",NA(),IF(OR(C2093="Smelter not listed",C2093="Smelter not yet identified"),MATCH($B2093&amp;$D2093,'Smelter Look-up'!$J:$J,0),MATCH($B2093&amp;$C2093,'Smelter Look-up'!$J:$J,0)))</f>
        <v>#N/A</v>
      </c>
      <c r="X2093" s="219">
        <f t="shared" ca="1" si="295"/>
        <v>0</v>
      </c>
      <c r="AB2093" s="220" t="str">
        <f t="shared" si="296"/>
        <v/>
      </c>
    </row>
    <row r="2094" spans="1:28" s="219" customFormat="1" ht="20.25">
      <c r="A2094" s="174"/>
      <c r="B2094" s="175" t="str">
        <f>IF(LEN(A2094)=0,"",INDEX('Smelter Look-up'!$A:$A,MATCH($A2094,'Smelter Look-up'!$E:$E,0)))</f>
        <v/>
      </c>
      <c r="C2094" s="179" t="str">
        <f>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294"/>
        <v/>
      </c>
      <c r="T2094" s="174" t="str">
        <f ca="1">IF(B2094="","",IF(ISERROR(MATCH($J2094,SorP!$B$1:$B$6279,0)),"",INDIRECT("'SorP'!$A$"&amp;MATCH($S2094&amp;$J2094,SorP!C:C,0))))</f>
        <v/>
      </c>
      <c r="U2094" s="194"/>
      <c r="V2094" s="218" t="e">
        <f>IF(C2094="",NA(),IF(OR(C2094="Smelter not listed",C2094="Smelter not yet identified"),MATCH($B2094&amp;$D2094,'Smelter Look-up'!$J:$J,0),MATCH($B2094&amp;$C2094,'Smelter Look-up'!$J:$J,0)))</f>
        <v>#N/A</v>
      </c>
      <c r="X2094" s="219">
        <f t="shared" ca="1" si="295"/>
        <v>0</v>
      </c>
      <c r="AB2094" s="220" t="str">
        <f t="shared" si="296"/>
        <v/>
      </c>
    </row>
    <row r="2095" spans="1:28" s="219" customFormat="1" ht="20.25">
      <c r="A2095" s="174"/>
      <c r="B2095" s="175" t="str">
        <f>IF(LEN(A2095)=0,"",INDEX('Smelter Look-up'!$A:$A,MATCH($A2095,'Smelter Look-up'!$E:$E,0)))</f>
        <v/>
      </c>
      <c r="C2095" s="179" t="str">
        <f>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294"/>
        <v/>
      </c>
      <c r="T2095" s="174" t="str">
        <f ca="1">IF(B2095="","",IF(ISERROR(MATCH($J2095,SorP!$B$1:$B$6279,0)),"",INDIRECT("'SorP'!$A$"&amp;MATCH($S2095&amp;$J2095,SorP!C:C,0))))</f>
        <v/>
      </c>
      <c r="U2095" s="194"/>
      <c r="V2095" s="218" t="e">
        <f>IF(C2095="",NA(),IF(OR(C2095="Smelter not listed",C2095="Smelter not yet identified"),MATCH($B2095&amp;$D2095,'Smelter Look-up'!$J:$J,0),MATCH($B2095&amp;$C2095,'Smelter Look-up'!$J:$J,0)))</f>
        <v>#N/A</v>
      </c>
      <c r="X2095" s="219">
        <f t="shared" ca="1" si="295"/>
        <v>0</v>
      </c>
      <c r="AB2095" s="220" t="str">
        <f t="shared" si="296"/>
        <v/>
      </c>
    </row>
    <row r="2096" spans="1:28" s="219" customFormat="1" ht="20.25">
      <c r="A2096" s="174"/>
      <c r="B2096" s="175" t="str">
        <f>IF(LEN(A2096)=0,"",INDEX('Smelter Look-up'!$A:$A,MATCH($A2096,'Smelter Look-up'!$E:$E,0)))</f>
        <v/>
      </c>
      <c r="C2096" s="179" t="str">
        <f>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294"/>
        <v/>
      </c>
      <c r="T2096" s="174" t="str">
        <f ca="1">IF(B2096="","",IF(ISERROR(MATCH($J2096,SorP!$B$1:$B$6279,0)),"",INDIRECT("'SorP'!$A$"&amp;MATCH($S2096&amp;$J2096,SorP!C:C,0))))</f>
        <v/>
      </c>
      <c r="U2096" s="194"/>
      <c r="V2096" s="218" t="e">
        <f>IF(C2096="",NA(),IF(OR(C2096="Smelter not listed",C2096="Smelter not yet identified"),MATCH($B2096&amp;$D2096,'Smelter Look-up'!$J:$J,0),MATCH($B2096&amp;$C2096,'Smelter Look-up'!$J:$J,0)))</f>
        <v>#N/A</v>
      </c>
      <c r="X2096" s="219">
        <f t="shared" ca="1" si="295"/>
        <v>0</v>
      </c>
      <c r="AB2096" s="220" t="str">
        <f t="shared" si="296"/>
        <v/>
      </c>
    </row>
    <row r="2097" spans="1:28" s="219" customFormat="1" ht="20.25">
      <c r="A2097" s="174"/>
      <c r="B2097" s="175" t="str">
        <f>IF(LEN(A2097)=0,"",INDEX('Smelter Look-up'!$A:$A,MATCH($A2097,'Smelter Look-up'!$E:$E,0)))</f>
        <v/>
      </c>
      <c r="C2097" s="179" t="str">
        <f>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294"/>
        <v/>
      </c>
      <c r="T2097" s="174" t="str">
        <f ca="1">IF(B2097="","",IF(ISERROR(MATCH($J2097,SorP!$B$1:$B$6279,0)),"",INDIRECT("'SorP'!$A$"&amp;MATCH($S2097&amp;$J2097,SorP!C:C,0))))</f>
        <v/>
      </c>
      <c r="U2097" s="194"/>
      <c r="V2097" s="218" t="e">
        <f>IF(C2097="",NA(),IF(OR(C2097="Smelter not listed",C2097="Smelter not yet identified"),MATCH($B2097&amp;$D2097,'Smelter Look-up'!$J:$J,0),MATCH($B2097&amp;$C2097,'Smelter Look-up'!$J:$J,0)))</f>
        <v>#N/A</v>
      </c>
      <c r="X2097" s="219">
        <f t="shared" ca="1" si="295"/>
        <v>0</v>
      </c>
      <c r="AB2097" s="220" t="str">
        <f t="shared" si="296"/>
        <v/>
      </c>
    </row>
    <row r="2098" spans="1:28" s="219" customFormat="1" ht="20.25">
      <c r="A2098" s="174"/>
      <c r="B2098" s="175" t="str">
        <f>IF(LEN(A2098)=0,"",INDEX('Smelter Look-up'!$A:$A,MATCH($A2098,'Smelter Look-up'!$E:$E,0)))</f>
        <v/>
      </c>
      <c r="C2098" s="179" t="str">
        <f>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294"/>
        <v/>
      </c>
      <c r="T2098" s="174" t="str">
        <f ca="1">IF(B2098="","",IF(ISERROR(MATCH($J2098,SorP!$B$1:$B$6279,0)),"",INDIRECT("'SorP'!$A$"&amp;MATCH($S2098&amp;$J2098,SorP!C:C,0))))</f>
        <v/>
      </c>
      <c r="U2098" s="194"/>
      <c r="V2098" s="218" t="e">
        <f>IF(C2098="",NA(),IF(OR(C2098="Smelter not listed",C2098="Smelter not yet identified"),MATCH($B2098&amp;$D2098,'Smelter Look-up'!$J:$J,0),MATCH($B2098&amp;$C2098,'Smelter Look-up'!$J:$J,0)))</f>
        <v>#N/A</v>
      </c>
      <c r="X2098" s="219">
        <f t="shared" ca="1" si="295"/>
        <v>0</v>
      </c>
      <c r="AB2098" s="220" t="str">
        <f t="shared" si="296"/>
        <v/>
      </c>
    </row>
    <row r="2099" spans="1:28" s="219" customFormat="1" ht="20.25">
      <c r="A2099" s="174"/>
      <c r="B2099" s="175" t="str">
        <f>IF(LEN(A2099)=0,"",INDEX('Smelter Look-up'!$A:$A,MATCH($A2099,'Smelter Look-up'!$E:$E,0)))</f>
        <v/>
      </c>
      <c r="C2099" s="179" t="str">
        <f>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294"/>
        <v/>
      </c>
      <c r="T2099" s="174" t="str">
        <f ca="1">IF(B2099="","",IF(ISERROR(MATCH($J2099,SorP!$B$1:$B$6279,0)),"",INDIRECT("'SorP'!$A$"&amp;MATCH($S2099&amp;$J2099,SorP!C:C,0))))</f>
        <v/>
      </c>
      <c r="U2099" s="194"/>
      <c r="V2099" s="218" t="e">
        <f>IF(C2099="",NA(),IF(OR(C2099="Smelter not listed",C2099="Smelter not yet identified"),MATCH($B2099&amp;$D2099,'Smelter Look-up'!$J:$J,0),MATCH($B2099&amp;$C2099,'Smelter Look-up'!$J:$J,0)))</f>
        <v>#N/A</v>
      </c>
      <c r="X2099" s="219">
        <f t="shared" ca="1" si="295"/>
        <v>0</v>
      </c>
      <c r="AB2099" s="220" t="str">
        <f t="shared" si="296"/>
        <v/>
      </c>
    </row>
    <row r="2100" spans="1:28" s="219" customFormat="1" ht="20.25">
      <c r="A2100" s="174"/>
      <c r="B2100" s="175" t="str">
        <f>IF(LEN(A2100)=0,"",INDEX('Smelter Look-up'!$A:$A,MATCH($A2100,'Smelter Look-up'!$E:$E,0)))</f>
        <v/>
      </c>
      <c r="C2100" s="179" t="str">
        <f>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294"/>
        <v/>
      </c>
      <c r="T2100" s="174" t="str">
        <f ca="1">IF(B2100="","",IF(ISERROR(MATCH($J2100,SorP!$B$1:$B$6279,0)),"",INDIRECT("'SorP'!$A$"&amp;MATCH($S2100&amp;$J2100,SorP!C:C,0))))</f>
        <v/>
      </c>
      <c r="U2100" s="194"/>
      <c r="V2100" s="218" t="e">
        <f>IF(C2100="",NA(),IF(OR(C2100="Smelter not listed",C2100="Smelter not yet identified"),MATCH($B2100&amp;$D2100,'Smelter Look-up'!$J:$J,0),MATCH($B2100&amp;$C2100,'Smelter Look-up'!$J:$J,0)))</f>
        <v>#N/A</v>
      </c>
      <c r="X2100" s="219">
        <f t="shared" ca="1" si="295"/>
        <v>0</v>
      </c>
      <c r="AB2100" s="220" t="str">
        <f t="shared" si="296"/>
        <v/>
      </c>
    </row>
    <row r="2101" spans="1:28" s="219" customFormat="1" ht="20.25">
      <c r="A2101" s="174"/>
      <c r="B2101" s="175" t="str">
        <f>IF(LEN(A2101)=0,"",INDEX('Smelter Look-up'!$A:$A,MATCH($A2101,'Smelter Look-up'!$E:$E,0)))</f>
        <v/>
      </c>
      <c r="C2101" s="179" t="str">
        <f>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294"/>
        <v/>
      </c>
      <c r="T2101" s="174" t="str">
        <f ca="1">IF(B2101="","",IF(ISERROR(MATCH($J2101,SorP!$B$1:$B$6279,0)),"",INDIRECT("'SorP'!$A$"&amp;MATCH($S2101&amp;$J2101,SorP!C:C,0))))</f>
        <v/>
      </c>
      <c r="U2101" s="194"/>
      <c r="V2101" s="218" t="e">
        <f>IF(C2101="",NA(),IF(OR(C2101="Smelter not listed",C2101="Smelter not yet identified"),MATCH($B2101&amp;$D2101,'Smelter Look-up'!$J:$J,0),MATCH($B2101&amp;$C2101,'Smelter Look-up'!$J:$J,0)))</f>
        <v>#N/A</v>
      </c>
      <c r="X2101" s="219">
        <f t="shared" ca="1" si="295"/>
        <v>0</v>
      </c>
      <c r="AB2101" s="220" t="str">
        <f t="shared" si="296"/>
        <v/>
      </c>
    </row>
    <row r="2102" spans="1:28" s="219" customFormat="1" ht="20.25">
      <c r="A2102" s="174"/>
      <c r="B2102" s="175" t="str">
        <f>IF(LEN(A2102)=0,"",INDEX('Smelter Look-up'!$A:$A,MATCH($A2102,'Smelter Look-up'!$E:$E,0)))</f>
        <v/>
      </c>
      <c r="C2102" s="179" t="str">
        <f>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294"/>
        <v/>
      </c>
      <c r="T2102" s="174" t="str">
        <f ca="1">IF(B2102="","",IF(ISERROR(MATCH($J2102,SorP!$B$1:$B$6279,0)),"",INDIRECT("'SorP'!$A$"&amp;MATCH($S2102&amp;$J2102,SorP!C:C,0))))</f>
        <v/>
      </c>
      <c r="U2102" s="194"/>
      <c r="V2102" s="218" t="e">
        <f>IF(C2102="",NA(),IF(OR(C2102="Smelter not listed",C2102="Smelter not yet identified"),MATCH($B2102&amp;$D2102,'Smelter Look-up'!$J:$J,0),MATCH($B2102&amp;$C2102,'Smelter Look-up'!$J:$J,0)))</f>
        <v>#N/A</v>
      </c>
      <c r="X2102" s="219">
        <f t="shared" ca="1" si="295"/>
        <v>0</v>
      </c>
      <c r="AB2102" s="220" t="str">
        <f t="shared" si="296"/>
        <v/>
      </c>
    </row>
    <row r="2103" spans="1:28" s="219" customFormat="1" ht="20.25">
      <c r="A2103" s="174"/>
      <c r="B2103" s="175" t="str">
        <f>IF(LEN(A2103)=0,"",INDEX('Smelter Look-up'!$A:$A,MATCH($A2103,'Smelter Look-up'!$E:$E,0)))</f>
        <v/>
      </c>
      <c r="C2103" s="179" t="str">
        <f>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294"/>
        <v/>
      </c>
      <c r="T2103" s="174" t="str">
        <f ca="1">IF(B2103="","",IF(ISERROR(MATCH($J2103,SorP!$B$1:$B$6279,0)),"",INDIRECT("'SorP'!$A$"&amp;MATCH($S2103&amp;$J2103,SorP!C:C,0))))</f>
        <v/>
      </c>
      <c r="U2103" s="194"/>
      <c r="V2103" s="218" t="e">
        <f>IF(C2103="",NA(),IF(OR(C2103="Smelter not listed",C2103="Smelter not yet identified"),MATCH($B2103&amp;$D2103,'Smelter Look-up'!$J:$J,0),MATCH($B2103&amp;$C2103,'Smelter Look-up'!$J:$J,0)))</f>
        <v>#N/A</v>
      </c>
      <c r="X2103" s="219">
        <f t="shared" ca="1" si="295"/>
        <v>0</v>
      </c>
      <c r="AB2103" s="220" t="str">
        <f t="shared" si="296"/>
        <v/>
      </c>
    </row>
    <row r="2104" spans="1:28" s="219" customFormat="1" ht="20.25">
      <c r="A2104" s="174"/>
      <c r="B2104" s="175" t="str">
        <f>IF(LEN(A2104)=0,"",INDEX('Smelter Look-up'!$A:$A,MATCH($A2104,'Smelter Look-up'!$E:$E,0)))</f>
        <v/>
      </c>
      <c r="C2104" s="179" t="str">
        <f>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294"/>
        <v/>
      </c>
      <c r="T2104" s="174" t="str">
        <f ca="1">IF(B2104="","",IF(ISERROR(MATCH($J2104,SorP!$B$1:$B$6279,0)),"",INDIRECT("'SorP'!$A$"&amp;MATCH($S2104&amp;$J2104,SorP!C:C,0))))</f>
        <v/>
      </c>
      <c r="U2104" s="194"/>
      <c r="V2104" s="218" t="e">
        <f>IF(C2104="",NA(),IF(OR(C2104="Smelter not listed",C2104="Smelter not yet identified"),MATCH($B2104&amp;$D2104,'Smelter Look-up'!$J:$J,0),MATCH($B2104&amp;$C2104,'Smelter Look-up'!$J:$J,0)))</f>
        <v>#N/A</v>
      </c>
      <c r="X2104" s="219">
        <f t="shared" ca="1" si="295"/>
        <v>0</v>
      </c>
      <c r="AB2104" s="220" t="str">
        <f t="shared" si="296"/>
        <v/>
      </c>
    </row>
    <row r="2105" spans="1:28" s="219" customFormat="1" ht="20.25">
      <c r="A2105" s="174"/>
      <c r="B2105" s="175" t="str">
        <f>IF(LEN(A2105)=0,"",INDEX('Smelter Look-up'!$A:$A,MATCH($A2105,'Smelter Look-up'!$E:$E,0)))</f>
        <v/>
      </c>
      <c r="C2105" s="179" t="str">
        <f>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ca="1" si="294"/>
        <v/>
      </c>
      <c r="T2105" s="174" t="str">
        <f ca="1">IF(B2105="","",IF(ISERROR(MATCH($J2105,SorP!$B$1:$B$6279,0)),"",INDIRECT("'SorP'!$A$"&amp;MATCH($S2105&amp;$J2105,SorP!C:C,0))))</f>
        <v/>
      </c>
      <c r="U2105" s="194"/>
      <c r="V2105" s="218" t="e">
        <f>IF(C2105="",NA(),IF(OR(C2105="Smelter not listed",C2105="Smelter not yet identified"),MATCH($B2105&amp;$D2105,'Smelter Look-up'!$J:$J,0),MATCH($B2105&amp;$C2105,'Smelter Look-up'!$J:$J,0)))</f>
        <v>#N/A</v>
      </c>
      <c r="X2105" s="219">
        <f t="shared" ca="1" si="295"/>
        <v>0</v>
      </c>
      <c r="AB2105" s="220" t="str">
        <f t="shared" si="296"/>
        <v/>
      </c>
    </row>
    <row r="2106" spans="1:28" s="219" customFormat="1" ht="20.25">
      <c r="A2106" s="174"/>
      <c r="B2106" s="175" t="str">
        <f>IF(LEN(A2106)=0,"",INDEX('Smelter Look-up'!$A:$A,MATCH($A2106,'Smelter Look-up'!$E:$E,0)))</f>
        <v/>
      </c>
      <c r="C2106" s="179" t="str">
        <f>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ca="1" si="294"/>
        <v/>
      </c>
      <c r="T2106" s="174" t="str">
        <f ca="1">IF(B2106="","",IF(ISERROR(MATCH($J2106,SorP!$B$1:$B$6279,0)),"",INDIRECT("'SorP'!$A$"&amp;MATCH($S2106&amp;$J2106,SorP!C:C,0))))</f>
        <v/>
      </c>
      <c r="U2106" s="194"/>
      <c r="V2106" s="218" t="e">
        <f>IF(C2106="",NA(),IF(OR(C2106="Smelter not listed",C2106="Smelter not yet identified"),MATCH($B2106&amp;$D2106,'Smelter Look-up'!$J:$J,0),MATCH($B2106&amp;$C2106,'Smelter Look-up'!$J:$J,0)))</f>
        <v>#N/A</v>
      </c>
      <c r="X2106" s="219">
        <f t="shared" ca="1" si="295"/>
        <v>0</v>
      </c>
      <c r="AB2106" s="220" t="str">
        <f t="shared" si="296"/>
        <v/>
      </c>
    </row>
    <row r="2107" spans="1:28" s="219" customFormat="1" ht="20.25">
      <c r="A2107" s="174"/>
      <c r="B2107" s="175" t="str">
        <f>IF(LEN(A2107)=0,"",INDEX('Smelter Look-up'!$A:$A,MATCH($A2107,'Smelter Look-up'!$E:$E,0)))</f>
        <v/>
      </c>
      <c r="C2107" s="179" t="str">
        <f>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t="shared" ref="S2107" ca="1" si="297">IF(B2107="","",IF(ISERROR(MATCH($E2107,CL,0)),"Unknown",INDIRECT("'C'!$A$"&amp;MATCH($E2107,CL,0)+1)))</f>
        <v/>
      </c>
      <c r="T2107" s="174" t="str">
        <f ca="1">IF(B2107="","",IF(ISERROR(MATCH($J2107,SorP!$B$1:$B$6279,0)),"",INDIRECT("'SorP'!$A$"&amp;MATCH($S2107&amp;$J2107,SorP!C:C,0))))</f>
        <v/>
      </c>
      <c r="U2107" s="194"/>
      <c r="V2107" s="218" t="e">
        <f>IF(C2107="",NA(),IF(OR(C2107="Smelter not listed",C2107="Smelter not yet identified"),MATCH($B2107&amp;$D2107,'Smelter Look-up'!$J:$J,0),MATCH($B2107&amp;$C2107,'Smelter Look-up'!$J:$J,0)))</f>
        <v>#N/A</v>
      </c>
      <c r="X2107" s="219">
        <f t="shared" ref="X2107" ca="1" si="298">IF(AND(C2107="Smelter not listed",OR(LEN(D2107)=0,LEN(E2107)=0)),1,0)</f>
        <v>0</v>
      </c>
      <c r="AB2107" s="220" t="str">
        <f t="shared" ref="AB2107" si="299">B2107&amp;C2107</f>
        <v/>
      </c>
    </row>
    <row r="2108" spans="1:28" s="219" customFormat="1" ht="20.25">
      <c r="A2108" s="174"/>
      <c r="B2108" s="175" t="str">
        <f>IF(LEN(A2108)=0,"",INDEX('Smelter Look-up'!$A:$A,MATCH($A2108,'Smelter Look-up'!$E:$E,0)))</f>
        <v/>
      </c>
      <c r="C2108" s="179" t="str">
        <f>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ref="S2108:S2139" ca="1" si="300">IF(B2108="","",IF(ISERROR(MATCH($E2108,CL,0)),"Unknown",INDIRECT("'C'!$A$"&amp;MATCH($E2108,CL,0)+1)))</f>
        <v/>
      </c>
      <c r="T2108" s="174" t="str">
        <f ca="1">IF(B2108="","",IF(ISERROR(MATCH($J2108,SorP!$B$1:$B$6279,0)),"",INDIRECT("'SorP'!$A$"&amp;MATCH($S2108&amp;$J2108,SorP!C:C,0))))</f>
        <v/>
      </c>
      <c r="U2108" s="194"/>
      <c r="V2108" s="218" t="e">
        <f>IF(C2108="",NA(),IF(OR(C2108="Smelter not listed",C2108="Smelter not yet identified"),MATCH($B2108&amp;$D2108,'Smelter Look-up'!$J:$J,0),MATCH($B2108&amp;$C2108,'Smelter Look-up'!$J:$J,0)))</f>
        <v>#N/A</v>
      </c>
      <c r="X2108" s="219">
        <f t="shared" ref="X2108:X2139" ca="1" si="301">IF(AND(C2108="Smelter not listed",OR(LEN(D2108)=0,LEN(E2108)=0)),1,0)</f>
        <v>0</v>
      </c>
      <c r="AB2108" s="220" t="str">
        <f t="shared" ref="AB2108:AB2139" si="302">B2108&amp;C2108</f>
        <v/>
      </c>
    </row>
    <row r="2109" spans="1:28" s="219" customFormat="1" ht="20.25">
      <c r="A2109" s="174"/>
      <c r="B2109" s="175" t="str">
        <f>IF(LEN(A2109)=0,"",INDEX('Smelter Look-up'!$A:$A,MATCH($A2109,'Smelter Look-up'!$E:$E,0)))</f>
        <v/>
      </c>
      <c r="C2109" s="179" t="str">
        <f>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300"/>
        <v/>
      </c>
      <c r="T2109" s="174" t="str">
        <f ca="1">IF(B2109="","",IF(ISERROR(MATCH($J2109,SorP!$B$1:$B$6279,0)),"",INDIRECT("'SorP'!$A$"&amp;MATCH($S2109&amp;$J2109,SorP!C:C,0))))</f>
        <v/>
      </c>
      <c r="U2109" s="194"/>
      <c r="V2109" s="218" t="e">
        <f>IF(C2109="",NA(),IF(OR(C2109="Smelter not listed",C2109="Smelter not yet identified"),MATCH($B2109&amp;$D2109,'Smelter Look-up'!$J:$J,0),MATCH($B2109&amp;$C2109,'Smelter Look-up'!$J:$J,0)))</f>
        <v>#N/A</v>
      </c>
      <c r="X2109" s="219">
        <f t="shared" ca="1" si="301"/>
        <v>0</v>
      </c>
      <c r="AB2109" s="220" t="str">
        <f t="shared" si="302"/>
        <v/>
      </c>
    </row>
    <row r="2110" spans="1:28" s="219" customFormat="1" ht="20.25">
      <c r="A2110" s="174"/>
      <c r="B2110" s="175" t="str">
        <f>IF(LEN(A2110)=0,"",INDEX('Smelter Look-up'!$A:$A,MATCH($A2110,'Smelter Look-up'!$E:$E,0)))</f>
        <v/>
      </c>
      <c r="C2110" s="179" t="str">
        <f>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300"/>
        <v/>
      </c>
      <c r="T2110" s="174" t="str">
        <f ca="1">IF(B2110="","",IF(ISERROR(MATCH($J2110,SorP!$B$1:$B$6279,0)),"",INDIRECT("'SorP'!$A$"&amp;MATCH($S2110&amp;$J2110,SorP!C:C,0))))</f>
        <v/>
      </c>
      <c r="U2110" s="194"/>
      <c r="V2110" s="218" t="e">
        <f>IF(C2110="",NA(),IF(OR(C2110="Smelter not listed",C2110="Smelter not yet identified"),MATCH($B2110&amp;$D2110,'Smelter Look-up'!$J:$J,0),MATCH($B2110&amp;$C2110,'Smelter Look-up'!$J:$J,0)))</f>
        <v>#N/A</v>
      </c>
      <c r="X2110" s="219">
        <f t="shared" ca="1" si="301"/>
        <v>0</v>
      </c>
      <c r="AB2110" s="220" t="str">
        <f t="shared" si="302"/>
        <v/>
      </c>
    </row>
    <row r="2111" spans="1:28" s="219" customFormat="1" ht="20.25">
      <c r="A2111" s="174"/>
      <c r="B2111" s="175" t="str">
        <f>IF(LEN(A2111)=0,"",INDEX('Smelter Look-up'!$A:$A,MATCH($A2111,'Smelter Look-up'!$E:$E,0)))</f>
        <v/>
      </c>
      <c r="C2111" s="179" t="str">
        <f>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300"/>
        <v/>
      </c>
      <c r="T2111" s="174" t="str">
        <f ca="1">IF(B2111="","",IF(ISERROR(MATCH($J2111,SorP!$B$1:$B$6279,0)),"",INDIRECT("'SorP'!$A$"&amp;MATCH($S2111&amp;$J2111,SorP!C:C,0))))</f>
        <v/>
      </c>
      <c r="U2111" s="194"/>
      <c r="V2111" s="218" t="e">
        <f>IF(C2111="",NA(),IF(OR(C2111="Smelter not listed",C2111="Smelter not yet identified"),MATCH($B2111&amp;$D2111,'Smelter Look-up'!$J:$J,0),MATCH($B2111&amp;$C2111,'Smelter Look-up'!$J:$J,0)))</f>
        <v>#N/A</v>
      </c>
      <c r="X2111" s="219">
        <f t="shared" ca="1" si="301"/>
        <v>0</v>
      </c>
      <c r="AB2111" s="220" t="str">
        <f t="shared" si="302"/>
        <v/>
      </c>
    </row>
    <row r="2112" spans="1:28" s="219" customFormat="1" ht="20.25">
      <c r="A2112" s="174"/>
      <c r="B2112" s="175" t="str">
        <f>IF(LEN(A2112)=0,"",INDEX('Smelter Look-up'!$A:$A,MATCH($A2112,'Smelter Look-up'!$E:$E,0)))</f>
        <v/>
      </c>
      <c r="C2112" s="179" t="str">
        <f>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300"/>
        <v/>
      </c>
      <c r="T2112" s="174" t="str">
        <f ca="1">IF(B2112="","",IF(ISERROR(MATCH($J2112,SorP!$B$1:$B$6279,0)),"",INDIRECT("'SorP'!$A$"&amp;MATCH($S2112&amp;$J2112,SorP!C:C,0))))</f>
        <v/>
      </c>
      <c r="U2112" s="194"/>
      <c r="V2112" s="218" t="e">
        <f>IF(C2112="",NA(),IF(OR(C2112="Smelter not listed",C2112="Smelter not yet identified"),MATCH($B2112&amp;$D2112,'Smelter Look-up'!$J:$J,0),MATCH($B2112&amp;$C2112,'Smelter Look-up'!$J:$J,0)))</f>
        <v>#N/A</v>
      </c>
      <c r="X2112" s="219">
        <f t="shared" ca="1" si="301"/>
        <v>0</v>
      </c>
      <c r="AB2112" s="220" t="str">
        <f t="shared" si="302"/>
        <v/>
      </c>
    </row>
    <row r="2113" spans="1:28" s="219" customFormat="1" ht="20.25">
      <c r="A2113" s="174"/>
      <c r="B2113" s="175" t="str">
        <f>IF(LEN(A2113)=0,"",INDEX('Smelter Look-up'!$A:$A,MATCH($A2113,'Smelter Look-up'!$E:$E,0)))</f>
        <v/>
      </c>
      <c r="C2113" s="179" t="str">
        <f>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300"/>
        <v/>
      </c>
      <c r="T2113" s="174" t="str">
        <f ca="1">IF(B2113="","",IF(ISERROR(MATCH($J2113,SorP!$B$1:$B$6279,0)),"",INDIRECT("'SorP'!$A$"&amp;MATCH($S2113&amp;$J2113,SorP!C:C,0))))</f>
        <v/>
      </c>
      <c r="U2113" s="194"/>
      <c r="V2113" s="218" t="e">
        <f>IF(C2113="",NA(),IF(OR(C2113="Smelter not listed",C2113="Smelter not yet identified"),MATCH($B2113&amp;$D2113,'Smelter Look-up'!$J:$J,0),MATCH($B2113&amp;$C2113,'Smelter Look-up'!$J:$J,0)))</f>
        <v>#N/A</v>
      </c>
      <c r="X2113" s="219">
        <f t="shared" ca="1" si="301"/>
        <v>0</v>
      </c>
      <c r="AB2113" s="220" t="str">
        <f t="shared" si="302"/>
        <v/>
      </c>
    </row>
    <row r="2114" spans="1:28" s="219" customFormat="1" ht="20.25">
      <c r="A2114" s="174"/>
      <c r="B2114" s="175" t="str">
        <f>IF(LEN(A2114)=0,"",INDEX('Smelter Look-up'!$A:$A,MATCH($A2114,'Smelter Look-up'!$E:$E,0)))</f>
        <v/>
      </c>
      <c r="C2114" s="179" t="str">
        <f>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300"/>
        <v/>
      </c>
      <c r="T2114" s="174" t="str">
        <f ca="1">IF(B2114="","",IF(ISERROR(MATCH($J2114,SorP!$B$1:$B$6279,0)),"",INDIRECT("'SorP'!$A$"&amp;MATCH($S2114&amp;$J2114,SorP!C:C,0))))</f>
        <v/>
      </c>
      <c r="U2114" s="194"/>
      <c r="V2114" s="218" t="e">
        <f>IF(C2114="",NA(),IF(OR(C2114="Smelter not listed",C2114="Smelter not yet identified"),MATCH($B2114&amp;$D2114,'Smelter Look-up'!$J:$J,0),MATCH($B2114&amp;$C2114,'Smelter Look-up'!$J:$J,0)))</f>
        <v>#N/A</v>
      </c>
      <c r="X2114" s="219">
        <f t="shared" ca="1" si="301"/>
        <v>0</v>
      </c>
      <c r="AB2114" s="220" t="str">
        <f t="shared" si="302"/>
        <v/>
      </c>
    </row>
    <row r="2115" spans="1:28" s="219" customFormat="1" ht="20.25">
      <c r="A2115" s="174"/>
      <c r="B2115" s="175" t="str">
        <f>IF(LEN(A2115)=0,"",INDEX('Smelter Look-up'!$A:$A,MATCH($A2115,'Smelter Look-up'!$E:$E,0)))</f>
        <v/>
      </c>
      <c r="C2115" s="179" t="str">
        <f>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300"/>
        <v/>
      </c>
      <c r="T2115" s="174" t="str">
        <f ca="1">IF(B2115="","",IF(ISERROR(MATCH($J2115,SorP!$B$1:$B$6279,0)),"",INDIRECT("'SorP'!$A$"&amp;MATCH($S2115&amp;$J2115,SorP!C:C,0))))</f>
        <v/>
      </c>
      <c r="U2115" s="194"/>
      <c r="V2115" s="218" t="e">
        <f>IF(C2115="",NA(),IF(OR(C2115="Smelter not listed",C2115="Smelter not yet identified"),MATCH($B2115&amp;$D2115,'Smelter Look-up'!$J:$J,0),MATCH($B2115&amp;$C2115,'Smelter Look-up'!$J:$J,0)))</f>
        <v>#N/A</v>
      </c>
      <c r="X2115" s="219">
        <f t="shared" ca="1" si="301"/>
        <v>0</v>
      </c>
      <c r="AB2115" s="220" t="str">
        <f t="shared" si="302"/>
        <v/>
      </c>
    </row>
    <row r="2116" spans="1:28" s="219" customFormat="1" ht="20.25">
      <c r="A2116" s="174"/>
      <c r="B2116" s="175" t="str">
        <f>IF(LEN(A2116)=0,"",INDEX('Smelter Look-up'!$A:$A,MATCH($A2116,'Smelter Look-up'!$E:$E,0)))</f>
        <v/>
      </c>
      <c r="C2116" s="179" t="str">
        <f>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300"/>
        <v/>
      </c>
      <c r="T2116" s="174" t="str">
        <f ca="1">IF(B2116="","",IF(ISERROR(MATCH($J2116,SorP!$B$1:$B$6279,0)),"",INDIRECT("'SorP'!$A$"&amp;MATCH($S2116&amp;$J2116,SorP!C:C,0))))</f>
        <v/>
      </c>
      <c r="U2116" s="194"/>
      <c r="V2116" s="218" t="e">
        <f>IF(C2116="",NA(),IF(OR(C2116="Smelter not listed",C2116="Smelter not yet identified"),MATCH($B2116&amp;$D2116,'Smelter Look-up'!$J:$J,0),MATCH($B2116&amp;$C2116,'Smelter Look-up'!$J:$J,0)))</f>
        <v>#N/A</v>
      </c>
      <c r="X2116" s="219">
        <f t="shared" ca="1" si="301"/>
        <v>0</v>
      </c>
      <c r="AB2116" s="220" t="str">
        <f t="shared" si="302"/>
        <v/>
      </c>
    </row>
    <row r="2117" spans="1:28" s="219" customFormat="1" ht="20.25">
      <c r="A2117" s="174"/>
      <c r="B2117" s="175" t="str">
        <f>IF(LEN(A2117)=0,"",INDEX('Smelter Look-up'!$A:$A,MATCH($A2117,'Smelter Look-up'!$E:$E,0)))</f>
        <v/>
      </c>
      <c r="C2117" s="179" t="str">
        <f>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300"/>
        <v/>
      </c>
      <c r="T2117" s="174" t="str">
        <f ca="1">IF(B2117="","",IF(ISERROR(MATCH($J2117,SorP!$B$1:$B$6279,0)),"",INDIRECT("'SorP'!$A$"&amp;MATCH($S2117&amp;$J2117,SorP!C:C,0))))</f>
        <v/>
      </c>
      <c r="U2117" s="194"/>
      <c r="V2117" s="218" t="e">
        <f>IF(C2117="",NA(),IF(OR(C2117="Smelter not listed",C2117="Smelter not yet identified"),MATCH($B2117&amp;$D2117,'Smelter Look-up'!$J:$J,0),MATCH($B2117&amp;$C2117,'Smelter Look-up'!$J:$J,0)))</f>
        <v>#N/A</v>
      </c>
      <c r="X2117" s="219">
        <f t="shared" ca="1" si="301"/>
        <v>0</v>
      </c>
      <c r="AB2117" s="220" t="str">
        <f t="shared" si="302"/>
        <v/>
      </c>
    </row>
    <row r="2118" spans="1:28" s="219" customFormat="1" ht="20.25">
      <c r="A2118" s="174"/>
      <c r="B2118" s="175" t="str">
        <f>IF(LEN(A2118)=0,"",INDEX('Smelter Look-up'!$A:$A,MATCH($A2118,'Smelter Look-up'!$E:$E,0)))</f>
        <v/>
      </c>
      <c r="C2118" s="179" t="str">
        <f>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300"/>
        <v/>
      </c>
      <c r="T2118" s="174" t="str">
        <f ca="1">IF(B2118="","",IF(ISERROR(MATCH($J2118,SorP!$B$1:$B$6279,0)),"",INDIRECT("'SorP'!$A$"&amp;MATCH($S2118&amp;$J2118,SorP!C:C,0))))</f>
        <v/>
      </c>
      <c r="U2118" s="194"/>
      <c r="V2118" s="218" t="e">
        <f>IF(C2118="",NA(),IF(OR(C2118="Smelter not listed",C2118="Smelter not yet identified"),MATCH($B2118&amp;$D2118,'Smelter Look-up'!$J:$J,0),MATCH($B2118&amp;$C2118,'Smelter Look-up'!$J:$J,0)))</f>
        <v>#N/A</v>
      </c>
      <c r="X2118" s="219">
        <f t="shared" ca="1" si="301"/>
        <v>0</v>
      </c>
      <c r="AB2118" s="220" t="str">
        <f t="shared" si="302"/>
        <v/>
      </c>
    </row>
    <row r="2119" spans="1:28" s="219" customFormat="1" ht="20.25">
      <c r="A2119" s="174"/>
      <c r="B2119" s="175" t="str">
        <f>IF(LEN(A2119)=0,"",INDEX('Smelter Look-up'!$A:$A,MATCH($A2119,'Smelter Look-up'!$E:$E,0)))</f>
        <v/>
      </c>
      <c r="C2119" s="179" t="str">
        <f>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300"/>
        <v/>
      </c>
      <c r="T2119" s="174" t="str">
        <f ca="1">IF(B2119="","",IF(ISERROR(MATCH($J2119,SorP!$B$1:$B$6279,0)),"",INDIRECT("'SorP'!$A$"&amp;MATCH($S2119&amp;$J2119,SorP!C:C,0))))</f>
        <v/>
      </c>
      <c r="U2119" s="194"/>
      <c r="V2119" s="218" t="e">
        <f>IF(C2119="",NA(),IF(OR(C2119="Smelter not listed",C2119="Smelter not yet identified"),MATCH($B2119&amp;$D2119,'Smelter Look-up'!$J:$J,0),MATCH($B2119&amp;$C2119,'Smelter Look-up'!$J:$J,0)))</f>
        <v>#N/A</v>
      </c>
      <c r="X2119" s="219">
        <f t="shared" ca="1" si="301"/>
        <v>0</v>
      </c>
      <c r="AB2119" s="220" t="str">
        <f t="shared" si="302"/>
        <v/>
      </c>
    </row>
    <row r="2120" spans="1:28" s="219" customFormat="1" ht="20.25">
      <c r="A2120" s="174"/>
      <c r="B2120" s="175" t="str">
        <f>IF(LEN(A2120)=0,"",INDEX('Smelter Look-up'!$A:$A,MATCH($A2120,'Smelter Look-up'!$E:$E,0)))</f>
        <v/>
      </c>
      <c r="C2120" s="179" t="str">
        <f>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300"/>
        <v/>
      </c>
      <c r="T2120" s="174" t="str">
        <f ca="1">IF(B2120="","",IF(ISERROR(MATCH($J2120,SorP!$B$1:$B$6279,0)),"",INDIRECT("'SorP'!$A$"&amp;MATCH($S2120&amp;$J2120,SorP!C:C,0))))</f>
        <v/>
      </c>
      <c r="U2120" s="194"/>
      <c r="V2120" s="218" t="e">
        <f>IF(C2120="",NA(),IF(OR(C2120="Smelter not listed",C2120="Smelter not yet identified"),MATCH($B2120&amp;$D2120,'Smelter Look-up'!$J:$J,0),MATCH($B2120&amp;$C2120,'Smelter Look-up'!$J:$J,0)))</f>
        <v>#N/A</v>
      </c>
      <c r="X2120" s="219">
        <f t="shared" ca="1" si="301"/>
        <v>0</v>
      </c>
      <c r="AB2120" s="220" t="str">
        <f t="shared" si="302"/>
        <v/>
      </c>
    </row>
    <row r="2121" spans="1:28" s="219" customFormat="1" ht="20.25">
      <c r="A2121" s="174"/>
      <c r="B2121" s="175" t="str">
        <f>IF(LEN(A2121)=0,"",INDEX('Smelter Look-up'!$A:$A,MATCH($A2121,'Smelter Look-up'!$E:$E,0)))</f>
        <v/>
      </c>
      <c r="C2121" s="179" t="str">
        <f>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300"/>
        <v/>
      </c>
      <c r="T2121" s="174" t="str">
        <f ca="1">IF(B2121="","",IF(ISERROR(MATCH($J2121,SorP!$B$1:$B$6279,0)),"",INDIRECT("'SorP'!$A$"&amp;MATCH($S2121&amp;$J2121,SorP!C:C,0))))</f>
        <v/>
      </c>
      <c r="U2121" s="194"/>
      <c r="V2121" s="218" t="e">
        <f>IF(C2121="",NA(),IF(OR(C2121="Smelter not listed",C2121="Smelter not yet identified"),MATCH($B2121&amp;$D2121,'Smelter Look-up'!$J:$J,0),MATCH($B2121&amp;$C2121,'Smelter Look-up'!$J:$J,0)))</f>
        <v>#N/A</v>
      </c>
      <c r="X2121" s="219">
        <f t="shared" ca="1" si="301"/>
        <v>0</v>
      </c>
      <c r="AB2121" s="220" t="str">
        <f t="shared" si="302"/>
        <v/>
      </c>
    </row>
    <row r="2122" spans="1:28" s="219" customFormat="1" ht="20.25">
      <c r="A2122" s="174"/>
      <c r="B2122" s="175" t="str">
        <f>IF(LEN(A2122)=0,"",INDEX('Smelter Look-up'!$A:$A,MATCH($A2122,'Smelter Look-up'!$E:$E,0)))</f>
        <v/>
      </c>
      <c r="C2122" s="179" t="str">
        <f>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300"/>
        <v/>
      </c>
      <c r="T2122" s="174" t="str">
        <f ca="1">IF(B2122="","",IF(ISERROR(MATCH($J2122,SorP!$B$1:$B$6279,0)),"",INDIRECT("'SorP'!$A$"&amp;MATCH($S2122&amp;$J2122,SorP!C:C,0))))</f>
        <v/>
      </c>
      <c r="U2122" s="194"/>
      <c r="V2122" s="218" t="e">
        <f>IF(C2122="",NA(),IF(OR(C2122="Smelter not listed",C2122="Smelter not yet identified"),MATCH($B2122&amp;$D2122,'Smelter Look-up'!$J:$J,0),MATCH($B2122&amp;$C2122,'Smelter Look-up'!$J:$J,0)))</f>
        <v>#N/A</v>
      </c>
      <c r="X2122" s="219">
        <f t="shared" ca="1" si="301"/>
        <v>0</v>
      </c>
      <c r="AB2122" s="220" t="str">
        <f t="shared" si="302"/>
        <v/>
      </c>
    </row>
    <row r="2123" spans="1:28" s="219" customFormat="1" ht="20.25">
      <c r="A2123" s="174"/>
      <c r="B2123" s="175" t="str">
        <f>IF(LEN(A2123)=0,"",INDEX('Smelter Look-up'!$A:$A,MATCH($A2123,'Smelter Look-up'!$E:$E,0)))</f>
        <v/>
      </c>
      <c r="C2123" s="179" t="str">
        <f>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300"/>
        <v/>
      </c>
      <c r="T2123" s="174" t="str">
        <f ca="1">IF(B2123="","",IF(ISERROR(MATCH($J2123,SorP!$B$1:$B$6279,0)),"",INDIRECT("'SorP'!$A$"&amp;MATCH($S2123&amp;$J2123,SorP!C:C,0))))</f>
        <v/>
      </c>
      <c r="U2123" s="194"/>
      <c r="V2123" s="218" t="e">
        <f>IF(C2123="",NA(),IF(OR(C2123="Smelter not listed",C2123="Smelter not yet identified"),MATCH($B2123&amp;$D2123,'Smelter Look-up'!$J:$J,0),MATCH($B2123&amp;$C2123,'Smelter Look-up'!$J:$J,0)))</f>
        <v>#N/A</v>
      </c>
      <c r="X2123" s="219">
        <f t="shared" ca="1" si="301"/>
        <v>0</v>
      </c>
      <c r="AB2123" s="220" t="str">
        <f t="shared" si="302"/>
        <v/>
      </c>
    </row>
    <row r="2124" spans="1:28" s="219" customFormat="1" ht="20.25">
      <c r="A2124" s="174"/>
      <c r="B2124" s="175" t="str">
        <f>IF(LEN(A2124)=0,"",INDEX('Smelter Look-up'!$A:$A,MATCH($A2124,'Smelter Look-up'!$E:$E,0)))</f>
        <v/>
      </c>
      <c r="C2124" s="179" t="str">
        <f>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300"/>
        <v/>
      </c>
      <c r="T2124" s="174" t="str">
        <f ca="1">IF(B2124="","",IF(ISERROR(MATCH($J2124,SorP!$B$1:$B$6279,0)),"",INDIRECT("'SorP'!$A$"&amp;MATCH($S2124&amp;$J2124,SorP!C:C,0))))</f>
        <v/>
      </c>
      <c r="U2124" s="194"/>
      <c r="V2124" s="218" t="e">
        <f>IF(C2124="",NA(),IF(OR(C2124="Smelter not listed",C2124="Smelter not yet identified"),MATCH($B2124&amp;$D2124,'Smelter Look-up'!$J:$J,0),MATCH($B2124&amp;$C2124,'Smelter Look-up'!$J:$J,0)))</f>
        <v>#N/A</v>
      </c>
      <c r="X2124" s="219">
        <f t="shared" ca="1" si="301"/>
        <v>0</v>
      </c>
      <c r="AB2124" s="220" t="str">
        <f t="shared" si="302"/>
        <v/>
      </c>
    </row>
    <row r="2125" spans="1:28" s="219" customFormat="1" ht="20.25">
      <c r="A2125" s="174"/>
      <c r="B2125" s="175" t="str">
        <f>IF(LEN(A2125)=0,"",INDEX('Smelter Look-up'!$A:$A,MATCH($A2125,'Smelter Look-up'!$E:$E,0)))</f>
        <v/>
      </c>
      <c r="C2125" s="179" t="str">
        <f>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300"/>
        <v/>
      </c>
      <c r="T2125" s="174" t="str">
        <f ca="1">IF(B2125="","",IF(ISERROR(MATCH($J2125,SorP!$B$1:$B$6279,0)),"",INDIRECT("'SorP'!$A$"&amp;MATCH($S2125&amp;$J2125,SorP!C:C,0))))</f>
        <v/>
      </c>
      <c r="U2125" s="194"/>
      <c r="V2125" s="218" t="e">
        <f>IF(C2125="",NA(),IF(OR(C2125="Smelter not listed",C2125="Smelter not yet identified"),MATCH($B2125&amp;$D2125,'Smelter Look-up'!$J:$J,0),MATCH($B2125&amp;$C2125,'Smelter Look-up'!$J:$J,0)))</f>
        <v>#N/A</v>
      </c>
      <c r="X2125" s="219">
        <f t="shared" ca="1" si="301"/>
        <v>0</v>
      </c>
      <c r="AB2125" s="220" t="str">
        <f t="shared" si="302"/>
        <v/>
      </c>
    </row>
    <row r="2126" spans="1:28" s="219" customFormat="1" ht="20.25">
      <c r="A2126" s="174"/>
      <c r="B2126" s="175" t="str">
        <f>IF(LEN(A2126)=0,"",INDEX('Smelter Look-up'!$A:$A,MATCH($A2126,'Smelter Look-up'!$E:$E,0)))</f>
        <v/>
      </c>
      <c r="C2126" s="179" t="str">
        <f>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300"/>
        <v/>
      </c>
      <c r="T2126" s="174" t="str">
        <f ca="1">IF(B2126="","",IF(ISERROR(MATCH($J2126,SorP!$B$1:$B$6279,0)),"",INDIRECT("'SorP'!$A$"&amp;MATCH($S2126&amp;$J2126,SorP!C:C,0))))</f>
        <v/>
      </c>
      <c r="U2126" s="194"/>
      <c r="V2126" s="218" t="e">
        <f>IF(C2126="",NA(),IF(OR(C2126="Smelter not listed",C2126="Smelter not yet identified"),MATCH($B2126&amp;$D2126,'Smelter Look-up'!$J:$J,0),MATCH($B2126&amp;$C2126,'Smelter Look-up'!$J:$J,0)))</f>
        <v>#N/A</v>
      </c>
      <c r="X2126" s="219">
        <f t="shared" ca="1" si="301"/>
        <v>0</v>
      </c>
      <c r="AB2126" s="220" t="str">
        <f t="shared" si="302"/>
        <v/>
      </c>
    </row>
    <row r="2127" spans="1:28" s="219" customFormat="1" ht="20.25">
      <c r="A2127" s="174"/>
      <c r="B2127" s="175" t="str">
        <f>IF(LEN(A2127)=0,"",INDEX('Smelter Look-up'!$A:$A,MATCH($A2127,'Smelter Look-up'!$E:$E,0)))</f>
        <v/>
      </c>
      <c r="C2127" s="179" t="str">
        <f>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300"/>
        <v/>
      </c>
      <c r="T2127" s="174" t="str">
        <f ca="1">IF(B2127="","",IF(ISERROR(MATCH($J2127,SorP!$B$1:$B$6279,0)),"",INDIRECT("'SorP'!$A$"&amp;MATCH($S2127&amp;$J2127,SorP!C:C,0))))</f>
        <v/>
      </c>
      <c r="U2127" s="194"/>
      <c r="V2127" s="218" t="e">
        <f>IF(C2127="",NA(),IF(OR(C2127="Smelter not listed",C2127="Smelter not yet identified"),MATCH($B2127&amp;$D2127,'Smelter Look-up'!$J:$J,0),MATCH($B2127&amp;$C2127,'Smelter Look-up'!$J:$J,0)))</f>
        <v>#N/A</v>
      </c>
      <c r="X2127" s="219">
        <f t="shared" ca="1" si="301"/>
        <v>0</v>
      </c>
      <c r="AB2127" s="220" t="str">
        <f t="shared" si="302"/>
        <v/>
      </c>
    </row>
    <row r="2128" spans="1:28" s="219" customFormat="1" ht="20.25">
      <c r="A2128" s="174"/>
      <c r="B2128" s="175" t="str">
        <f>IF(LEN(A2128)=0,"",INDEX('Smelter Look-up'!$A:$A,MATCH($A2128,'Smelter Look-up'!$E:$E,0)))</f>
        <v/>
      </c>
      <c r="C2128" s="179" t="str">
        <f>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300"/>
        <v/>
      </c>
      <c r="T2128" s="174" t="str">
        <f ca="1">IF(B2128="","",IF(ISERROR(MATCH($J2128,SorP!$B$1:$B$6279,0)),"",INDIRECT("'SorP'!$A$"&amp;MATCH($S2128&amp;$J2128,SorP!C:C,0))))</f>
        <v/>
      </c>
      <c r="U2128" s="194"/>
      <c r="V2128" s="218" t="e">
        <f>IF(C2128="",NA(),IF(OR(C2128="Smelter not listed",C2128="Smelter not yet identified"),MATCH($B2128&amp;$D2128,'Smelter Look-up'!$J:$J,0),MATCH($B2128&amp;$C2128,'Smelter Look-up'!$J:$J,0)))</f>
        <v>#N/A</v>
      </c>
      <c r="X2128" s="219">
        <f t="shared" ca="1" si="301"/>
        <v>0</v>
      </c>
      <c r="AB2128" s="220" t="str">
        <f t="shared" si="302"/>
        <v/>
      </c>
    </row>
    <row r="2129" spans="1:28" s="219" customFormat="1" ht="20.25">
      <c r="A2129" s="174"/>
      <c r="B2129" s="175" t="str">
        <f>IF(LEN(A2129)=0,"",INDEX('Smelter Look-up'!$A:$A,MATCH($A2129,'Smelter Look-up'!$E:$E,0)))</f>
        <v/>
      </c>
      <c r="C2129" s="179" t="str">
        <f>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300"/>
        <v/>
      </c>
      <c r="T2129" s="174" t="str">
        <f ca="1">IF(B2129="","",IF(ISERROR(MATCH($J2129,SorP!$B$1:$B$6279,0)),"",INDIRECT("'SorP'!$A$"&amp;MATCH($S2129&amp;$J2129,SorP!C:C,0))))</f>
        <v/>
      </c>
      <c r="U2129" s="194"/>
      <c r="V2129" s="218" t="e">
        <f>IF(C2129="",NA(),IF(OR(C2129="Smelter not listed",C2129="Smelter not yet identified"),MATCH($B2129&amp;$D2129,'Smelter Look-up'!$J:$J,0),MATCH($B2129&amp;$C2129,'Smelter Look-up'!$J:$J,0)))</f>
        <v>#N/A</v>
      </c>
      <c r="X2129" s="219">
        <f t="shared" ca="1" si="301"/>
        <v>0</v>
      </c>
      <c r="AB2129" s="220" t="str">
        <f t="shared" si="302"/>
        <v/>
      </c>
    </row>
    <row r="2130" spans="1:28" s="219" customFormat="1" ht="20.25">
      <c r="A2130" s="174"/>
      <c r="B2130" s="175" t="str">
        <f>IF(LEN(A2130)=0,"",INDEX('Smelter Look-up'!$A:$A,MATCH($A2130,'Smelter Look-up'!$E:$E,0)))</f>
        <v/>
      </c>
      <c r="C2130" s="179" t="str">
        <f>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300"/>
        <v/>
      </c>
      <c r="T2130" s="174" t="str">
        <f ca="1">IF(B2130="","",IF(ISERROR(MATCH($J2130,SorP!$B$1:$B$6279,0)),"",INDIRECT("'SorP'!$A$"&amp;MATCH($S2130&amp;$J2130,SorP!C:C,0))))</f>
        <v/>
      </c>
      <c r="U2130" s="194"/>
      <c r="V2130" s="218" t="e">
        <f>IF(C2130="",NA(),IF(OR(C2130="Smelter not listed",C2130="Smelter not yet identified"),MATCH($B2130&amp;$D2130,'Smelter Look-up'!$J:$J,0),MATCH($B2130&amp;$C2130,'Smelter Look-up'!$J:$J,0)))</f>
        <v>#N/A</v>
      </c>
      <c r="X2130" s="219">
        <f t="shared" ca="1" si="301"/>
        <v>0</v>
      </c>
      <c r="AB2130" s="220" t="str">
        <f t="shared" si="302"/>
        <v/>
      </c>
    </row>
    <row r="2131" spans="1:28" s="219" customFormat="1" ht="20.25">
      <c r="A2131" s="174"/>
      <c r="B2131" s="175" t="str">
        <f>IF(LEN(A2131)=0,"",INDEX('Smelter Look-up'!$A:$A,MATCH($A2131,'Smelter Look-up'!$E:$E,0)))</f>
        <v/>
      </c>
      <c r="C2131" s="179" t="str">
        <f>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300"/>
        <v/>
      </c>
      <c r="T2131" s="174" t="str">
        <f ca="1">IF(B2131="","",IF(ISERROR(MATCH($J2131,SorP!$B$1:$B$6279,0)),"",INDIRECT("'SorP'!$A$"&amp;MATCH($S2131&amp;$J2131,SorP!C:C,0))))</f>
        <v/>
      </c>
      <c r="U2131" s="194"/>
      <c r="V2131" s="218" t="e">
        <f>IF(C2131="",NA(),IF(OR(C2131="Smelter not listed",C2131="Smelter not yet identified"),MATCH($B2131&amp;$D2131,'Smelter Look-up'!$J:$J,0),MATCH($B2131&amp;$C2131,'Smelter Look-up'!$J:$J,0)))</f>
        <v>#N/A</v>
      </c>
      <c r="X2131" s="219">
        <f t="shared" ca="1" si="301"/>
        <v>0</v>
      </c>
      <c r="AB2131" s="220" t="str">
        <f t="shared" si="302"/>
        <v/>
      </c>
    </row>
    <row r="2132" spans="1:28" s="219" customFormat="1" ht="20.25">
      <c r="A2132" s="174"/>
      <c r="B2132" s="175" t="str">
        <f>IF(LEN(A2132)=0,"",INDEX('Smelter Look-up'!$A:$A,MATCH($A2132,'Smelter Look-up'!$E:$E,0)))</f>
        <v/>
      </c>
      <c r="C2132" s="179" t="str">
        <f>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300"/>
        <v/>
      </c>
      <c r="T2132" s="174" t="str">
        <f ca="1">IF(B2132="","",IF(ISERROR(MATCH($J2132,SorP!$B$1:$B$6279,0)),"",INDIRECT("'SorP'!$A$"&amp;MATCH($S2132&amp;$J2132,SorP!C:C,0))))</f>
        <v/>
      </c>
      <c r="U2132" s="194"/>
      <c r="V2132" s="218" t="e">
        <f>IF(C2132="",NA(),IF(OR(C2132="Smelter not listed",C2132="Smelter not yet identified"),MATCH($B2132&amp;$D2132,'Smelter Look-up'!$J:$J,0),MATCH($B2132&amp;$C2132,'Smelter Look-up'!$J:$J,0)))</f>
        <v>#N/A</v>
      </c>
      <c r="X2132" s="219">
        <f t="shared" ca="1" si="301"/>
        <v>0</v>
      </c>
      <c r="AB2132" s="220" t="str">
        <f t="shared" si="302"/>
        <v/>
      </c>
    </row>
    <row r="2133" spans="1:28" s="219" customFormat="1" ht="20.25">
      <c r="A2133" s="174"/>
      <c r="B2133" s="175" t="str">
        <f>IF(LEN(A2133)=0,"",INDEX('Smelter Look-up'!$A:$A,MATCH($A2133,'Smelter Look-up'!$E:$E,0)))</f>
        <v/>
      </c>
      <c r="C2133" s="179" t="str">
        <f>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300"/>
        <v/>
      </c>
      <c r="T2133" s="174" t="str">
        <f ca="1">IF(B2133="","",IF(ISERROR(MATCH($J2133,SorP!$B$1:$B$6279,0)),"",INDIRECT("'SorP'!$A$"&amp;MATCH($S2133&amp;$J2133,SorP!C:C,0))))</f>
        <v/>
      </c>
      <c r="U2133" s="194"/>
      <c r="V2133" s="218" t="e">
        <f>IF(C2133="",NA(),IF(OR(C2133="Smelter not listed",C2133="Smelter not yet identified"),MATCH($B2133&amp;$D2133,'Smelter Look-up'!$J:$J,0),MATCH($B2133&amp;$C2133,'Smelter Look-up'!$J:$J,0)))</f>
        <v>#N/A</v>
      </c>
      <c r="X2133" s="219">
        <f t="shared" ca="1" si="301"/>
        <v>0</v>
      </c>
      <c r="AB2133" s="220" t="str">
        <f t="shared" si="302"/>
        <v/>
      </c>
    </row>
    <row r="2134" spans="1:28" s="219" customFormat="1" ht="20.25">
      <c r="A2134" s="174"/>
      <c r="B2134" s="175" t="str">
        <f>IF(LEN(A2134)=0,"",INDEX('Smelter Look-up'!$A:$A,MATCH($A2134,'Smelter Look-up'!$E:$E,0)))</f>
        <v/>
      </c>
      <c r="C2134" s="179" t="str">
        <f>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300"/>
        <v/>
      </c>
      <c r="T2134" s="174" t="str">
        <f ca="1">IF(B2134="","",IF(ISERROR(MATCH($J2134,SorP!$B$1:$B$6279,0)),"",INDIRECT("'SorP'!$A$"&amp;MATCH($S2134&amp;$J2134,SorP!C:C,0))))</f>
        <v/>
      </c>
      <c r="U2134" s="194"/>
      <c r="V2134" s="218" t="e">
        <f>IF(C2134="",NA(),IF(OR(C2134="Smelter not listed",C2134="Smelter not yet identified"),MATCH($B2134&amp;$D2134,'Smelter Look-up'!$J:$J,0),MATCH($B2134&amp;$C2134,'Smelter Look-up'!$J:$J,0)))</f>
        <v>#N/A</v>
      </c>
      <c r="X2134" s="219">
        <f t="shared" ca="1" si="301"/>
        <v>0</v>
      </c>
      <c r="AB2134" s="220" t="str">
        <f t="shared" si="302"/>
        <v/>
      </c>
    </row>
    <row r="2135" spans="1:28" s="219" customFormat="1" ht="20.25">
      <c r="A2135" s="174"/>
      <c r="B2135" s="175" t="str">
        <f>IF(LEN(A2135)=0,"",INDEX('Smelter Look-up'!$A:$A,MATCH($A2135,'Smelter Look-up'!$E:$E,0)))</f>
        <v/>
      </c>
      <c r="C2135" s="179" t="str">
        <f>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300"/>
        <v/>
      </c>
      <c r="T2135" s="174" t="str">
        <f ca="1">IF(B2135="","",IF(ISERROR(MATCH($J2135,SorP!$B$1:$B$6279,0)),"",INDIRECT("'SorP'!$A$"&amp;MATCH($S2135&amp;$J2135,SorP!C:C,0))))</f>
        <v/>
      </c>
      <c r="U2135" s="194"/>
      <c r="V2135" s="218" t="e">
        <f>IF(C2135="",NA(),IF(OR(C2135="Smelter not listed",C2135="Smelter not yet identified"),MATCH($B2135&amp;$D2135,'Smelter Look-up'!$J:$J,0),MATCH($B2135&amp;$C2135,'Smelter Look-up'!$J:$J,0)))</f>
        <v>#N/A</v>
      </c>
      <c r="X2135" s="219">
        <f t="shared" ca="1" si="301"/>
        <v>0</v>
      </c>
      <c r="AB2135" s="220" t="str">
        <f t="shared" si="302"/>
        <v/>
      </c>
    </row>
    <row r="2136" spans="1:28" s="219" customFormat="1" ht="20.25">
      <c r="A2136" s="174"/>
      <c r="B2136" s="175" t="str">
        <f>IF(LEN(A2136)=0,"",INDEX('Smelter Look-up'!$A:$A,MATCH($A2136,'Smelter Look-up'!$E:$E,0)))</f>
        <v/>
      </c>
      <c r="C2136" s="179" t="str">
        <f>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300"/>
        <v/>
      </c>
      <c r="T2136" s="174" t="str">
        <f ca="1">IF(B2136="","",IF(ISERROR(MATCH($J2136,SorP!$B$1:$B$6279,0)),"",INDIRECT("'SorP'!$A$"&amp;MATCH($S2136&amp;$J2136,SorP!C:C,0))))</f>
        <v/>
      </c>
      <c r="U2136" s="194"/>
      <c r="V2136" s="218" t="e">
        <f>IF(C2136="",NA(),IF(OR(C2136="Smelter not listed",C2136="Smelter not yet identified"),MATCH($B2136&amp;$D2136,'Smelter Look-up'!$J:$J,0),MATCH($B2136&amp;$C2136,'Smelter Look-up'!$J:$J,0)))</f>
        <v>#N/A</v>
      </c>
      <c r="X2136" s="219">
        <f t="shared" ca="1" si="301"/>
        <v>0</v>
      </c>
      <c r="AB2136" s="220" t="str">
        <f t="shared" si="302"/>
        <v/>
      </c>
    </row>
    <row r="2137" spans="1:28" s="219" customFormat="1" ht="20.25">
      <c r="A2137" s="174"/>
      <c r="B2137" s="175" t="str">
        <f>IF(LEN(A2137)=0,"",INDEX('Smelter Look-up'!$A:$A,MATCH($A2137,'Smelter Look-up'!$E:$E,0)))</f>
        <v/>
      </c>
      <c r="C2137" s="179" t="str">
        <f>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300"/>
        <v/>
      </c>
      <c r="T2137" s="174" t="str">
        <f ca="1">IF(B2137="","",IF(ISERROR(MATCH($J2137,SorP!$B$1:$B$6279,0)),"",INDIRECT("'SorP'!$A$"&amp;MATCH($S2137&amp;$J2137,SorP!C:C,0))))</f>
        <v/>
      </c>
      <c r="U2137" s="194"/>
      <c r="V2137" s="218" t="e">
        <f>IF(C2137="",NA(),IF(OR(C2137="Smelter not listed",C2137="Smelter not yet identified"),MATCH($B2137&amp;$D2137,'Smelter Look-up'!$J:$J,0),MATCH($B2137&amp;$C2137,'Smelter Look-up'!$J:$J,0)))</f>
        <v>#N/A</v>
      </c>
      <c r="X2137" s="219">
        <f t="shared" ca="1" si="301"/>
        <v>0</v>
      </c>
      <c r="AB2137" s="220" t="str">
        <f t="shared" si="302"/>
        <v/>
      </c>
    </row>
    <row r="2138" spans="1:28" s="219" customFormat="1" ht="20.25">
      <c r="A2138" s="174"/>
      <c r="B2138" s="175" t="str">
        <f>IF(LEN(A2138)=0,"",INDEX('Smelter Look-up'!$A:$A,MATCH($A2138,'Smelter Look-up'!$E:$E,0)))</f>
        <v/>
      </c>
      <c r="C2138" s="179" t="str">
        <f>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ca="1" si="300"/>
        <v/>
      </c>
      <c r="T2138" s="174" t="str">
        <f ca="1">IF(B2138="","",IF(ISERROR(MATCH($J2138,SorP!$B$1:$B$6279,0)),"",INDIRECT("'SorP'!$A$"&amp;MATCH($S2138&amp;$J2138,SorP!C:C,0))))</f>
        <v/>
      </c>
      <c r="U2138" s="194"/>
      <c r="V2138" s="218" t="e">
        <f>IF(C2138="",NA(),IF(OR(C2138="Smelter not listed",C2138="Smelter not yet identified"),MATCH($B2138&amp;$D2138,'Smelter Look-up'!$J:$J,0),MATCH($B2138&amp;$C2138,'Smelter Look-up'!$J:$J,0)))</f>
        <v>#N/A</v>
      </c>
      <c r="X2138" s="219">
        <f t="shared" ca="1" si="301"/>
        <v>0</v>
      </c>
      <c r="AB2138" s="220" t="str">
        <f t="shared" si="302"/>
        <v/>
      </c>
    </row>
    <row r="2139" spans="1:28" s="219" customFormat="1" ht="20.25">
      <c r="A2139" s="174"/>
      <c r="B2139" s="175" t="str">
        <f>IF(LEN(A2139)=0,"",INDEX('Smelter Look-up'!$A:$A,MATCH($A2139,'Smelter Look-up'!$E:$E,0)))</f>
        <v/>
      </c>
      <c r="C2139" s="179" t="str">
        <f>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ca="1" si="300"/>
        <v/>
      </c>
      <c r="T2139" s="174" t="str">
        <f ca="1">IF(B2139="","",IF(ISERROR(MATCH($J2139,SorP!$B$1:$B$6279,0)),"",INDIRECT("'SorP'!$A$"&amp;MATCH($S2139&amp;$J2139,SorP!C:C,0))))</f>
        <v/>
      </c>
      <c r="U2139" s="194"/>
      <c r="V2139" s="218" t="e">
        <f>IF(C2139="",NA(),IF(OR(C2139="Smelter not listed",C2139="Smelter not yet identified"),MATCH($B2139&amp;$D2139,'Smelter Look-up'!$J:$J,0),MATCH($B2139&amp;$C2139,'Smelter Look-up'!$J:$J,0)))</f>
        <v>#N/A</v>
      </c>
      <c r="X2139" s="219">
        <f t="shared" ca="1" si="301"/>
        <v>0</v>
      </c>
      <c r="AB2139" s="220" t="str">
        <f t="shared" si="302"/>
        <v/>
      </c>
    </row>
    <row r="2140" spans="1:28" s="219" customFormat="1" ht="20.25">
      <c r="A2140" s="174"/>
      <c r="B2140" s="175" t="str">
        <f>IF(LEN(A2140)=0,"",INDEX('Smelter Look-up'!$A:$A,MATCH($A2140,'Smelter Look-up'!$E:$E,0)))</f>
        <v/>
      </c>
      <c r="C2140" s="179" t="str">
        <f>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ref="S2140:S2170" ca="1" si="303">IF(B2140="","",IF(ISERROR(MATCH($E2140,CL,0)),"Unknown",INDIRECT("'C'!$A$"&amp;MATCH($E2140,CL,0)+1)))</f>
        <v/>
      </c>
      <c r="T2140" s="174" t="str">
        <f ca="1">IF(B2140="","",IF(ISERROR(MATCH($J2140,SorP!$B$1:$B$6279,0)),"",INDIRECT("'SorP'!$A$"&amp;MATCH($S2140&amp;$J2140,SorP!C:C,0))))</f>
        <v/>
      </c>
      <c r="U2140" s="194"/>
      <c r="V2140" s="218" t="e">
        <f>IF(C2140="",NA(),IF(OR(C2140="Smelter not listed",C2140="Smelter not yet identified"),MATCH($B2140&amp;$D2140,'Smelter Look-up'!$J:$J,0),MATCH($B2140&amp;$C2140,'Smelter Look-up'!$J:$J,0)))</f>
        <v>#N/A</v>
      </c>
      <c r="X2140" s="219">
        <f t="shared" ref="X2140:X2170" ca="1" si="304">IF(AND(C2140="Smelter not listed",OR(LEN(D2140)=0,LEN(E2140)=0)),1,0)</f>
        <v>0</v>
      </c>
      <c r="AB2140" s="220" t="str">
        <f t="shared" ref="AB2140:AB2170" si="305">B2140&amp;C2140</f>
        <v/>
      </c>
    </row>
    <row r="2141" spans="1:28" s="219" customFormat="1" ht="20.25">
      <c r="A2141" s="174"/>
      <c r="B2141" s="175" t="str">
        <f>IF(LEN(A2141)=0,"",INDEX('Smelter Look-up'!$A:$A,MATCH($A2141,'Smelter Look-up'!$E:$E,0)))</f>
        <v/>
      </c>
      <c r="C2141" s="179" t="str">
        <f>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303"/>
        <v/>
      </c>
      <c r="T2141" s="174" t="str">
        <f ca="1">IF(B2141="","",IF(ISERROR(MATCH($J2141,SorP!$B$1:$B$6279,0)),"",INDIRECT("'SorP'!$A$"&amp;MATCH($S2141&amp;$J2141,SorP!C:C,0))))</f>
        <v/>
      </c>
      <c r="U2141" s="194"/>
      <c r="V2141" s="218" t="e">
        <f>IF(C2141="",NA(),IF(OR(C2141="Smelter not listed",C2141="Smelter not yet identified"),MATCH($B2141&amp;$D2141,'Smelter Look-up'!$J:$J,0),MATCH($B2141&amp;$C2141,'Smelter Look-up'!$J:$J,0)))</f>
        <v>#N/A</v>
      </c>
      <c r="X2141" s="219">
        <f t="shared" ca="1" si="304"/>
        <v>0</v>
      </c>
      <c r="AB2141" s="220" t="str">
        <f t="shared" si="305"/>
        <v/>
      </c>
    </row>
    <row r="2142" spans="1:28" s="219" customFormat="1" ht="20.25">
      <c r="A2142" s="174"/>
      <c r="B2142" s="175" t="str">
        <f>IF(LEN(A2142)=0,"",INDEX('Smelter Look-up'!$A:$A,MATCH($A2142,'Smelter Look-up'!$E:$E,0)))</f>
        <v/>
      </c>
      <c r="C2142" s="179" t="str">
        <f>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303"/>
        <v/>
      </c>
      <c r="T2142" s="174" t="str">
        <f ca="1">IF(B2142="","",IF(ISERROR(MATCH($J2142,SorP!$B$1:$B$6279,0)),"",INDIRECT("'SorP'!$A$"&amp;MATCH($S2142&amp;$J2142,SorP!C:C,0))))</f>
        <v/>
      </c>
      <c r="U2142" s="194"/>
      <c r="V2142" s="218" t="e">
        <f>IF(C2142="",NA(),IF(OR(C2142="Smelter not listed",C2142="Smelter not yet identified"),MATCH($B2142&amp;$D2142,'Smelter Look-up'!$J:$J,0),MATCH($B2142&amp;$C2142,'Smelter Look-up'!$J:$J,0)))</f>
        <v>#N/A</v>
      </c>
      <c r="X2142" s="219">
        <f t="shared" ca="1" si="304"/>
        <v>0</v>
      </c>
      <c r="AB2142" s="220" t="str">
        <f t="shared" si="305"/>
        <v/>
      </c>
    </row>
    <row r="2143" spans="1:28" s="219" customFormat="1" ht="20.25">
      <c r="A2143" s="174"/>
      <c r="B2143" s="175" t="str">
        <f>IF(LEN(A2143)=0,"",INDEX('Smelter Look-up'!$A:$A,MATCH($A2143,'Smelter Look-up'!$E:$E,0)))</f>
        <v/>
      </c>
      <c r="C2143" s="179" t="str">
        <f>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303"/>
        <v/>
      </c>
      <c r="T2143" s="174" t="str">
        <f ca="1">IF(B2143="","",IF(ISERROR(MATCH($J2143,SorP!$B$1:$B$6279,0)),"",INDIRECT("'SorP'!$A$"&amp;MATCH($S2143&amp;$J2143,SorP!C:C,0))))</f>
        <v/>
      </c>
      <c r="U2143" s="194"/>
      <c r="V2143" s="218" t="e">
        <f>IF(C2143="",NA(),IF(OR(C2143="Smelter not listed",C2143="Smelter not yet identified"),MATCH($B2143&amp;$D2143,'Smelter Look-up'!$J:$J,0),MATCH($B2143&amp;$C2143,'Smelter Look-up'!$J:$J,0)))</f>
        <v>#N/A</v>
      </c>
      <c r="X2143" s="219">
        <f t="shared" ca="1" si="304"/>
        <v>0</v>
      </c>
      <c r="AB2143" s="220" t="str">
        <f t="shared" si="305"/>
        <v/>
      </c>
    </row>
    <row r="2144" spans="1:28" s="219" customFormat="1" ht="20.25">
      <c r="A2144" s="174"/>
      <c r="B2144" s="175" t="str">
        <f>IF(LEN(A2144)=0,"",INDEX('Smelter Look-up'!$A:$A,MATCH($A2144,'Smelter Look-up'!$E:$E,0)))</f>
        <v/>
      </c>
      <c r="C2144" s="179" t="str">
        <f>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303"/>
        <v/>
      </c>
      <c r="T2144" s="174" t="str">
        <f ca="1">IF(B2144="","",IF(ISERROR(MATCH($J2144,SorP!$B$1:$B$6279,0)),"",INDIRECT("'SorP'!$A$"&amp;MATCH($S2144&amp;$J2144,SorP!C:C,0))))</f>
        <v/>
      </c>
      <c r="U2144" s="194"/>
      <c r="V2144" s="218" t="e">
        <f>IF(C2144="",NA(),IF(OR(C2144="Smelter not listed",C2144="Smelter not yet identified"),MATCH($B2144&amp;$D2144,'Smelter Look-up'!$J:$J,0),MATCH($B2144&amp;$C2144,'Smelter Look-up'!$J:$J,0)))</f>
        <v>#N/A</v>
      </c>
      <c r="X2144" s="219">
        <f t="shared" ca="1" si="304"/>
        <v>0</v>
      </c>
      <c r="AB2144" s="220" t="str">
        <f t="shared" si="305"/>
        <v/>
      </c>
    </row>
    <row r="2145" spans="1:28" s="219" customFormat="1" ht="20.25">
      <c r="A2145" s="174"/>
      <c r="B2145" s="175" t="str">
        <f>IF(LEN(A2145)=0,"",INDEX('Smelter Look-up'!$A:$A,MATCH($A2145,'Smelter Look-up'!$E:$E,0)))</f>
        <v/>
      </c>
      <c r="C2145" s="179" t="str">
        <f>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303"/>
        <v/>
      </c>
      <c r="T2145" s="174" t="str">
        <f ca="1">IF(B2145="","",IF(ISERROR(MATCH($J2145,SorP!$B$1:$B$6279,0)),"",INDIRECT("'SorP'!$A$"&amp;MATCH($S2145&amp;$J2145,SorP!C:C,0))))</f>
        <v/>
      </c>
      <c r="U2145" s="194"/>
      <c r="V2145" s="218" t="e">
        <f>IF(C2145="",NA(),IF(OR(C2145="Smelter not listed",C2145="Smelter not yet identified"),MATCH($B2145&amp;$D2145,'Smelter Look-up'!$J:$J,0),MATCH($B2145&amp;$C2145,'Smelter Look-up'!$J:$J,0)))</f>
        <v>#N/A</v>
      </c>
      <c r="X2145" s="219">
        <f t="shared" ca="1" si="304"/>
        <v>0</v>
      </c>
      <c r="AB2145" s="220" t="str">
        <f t="shared" si="305"/>
        <v/>
      </c>
    </row>
    <row r="2146" spans="1:28" s="219" customFormat="1" ht="20.25">
      <c r="A2146" s="174"/>
      <c r="B2146" s="175" t="str">
        <f>IF(LEN(A2146)=0,"",INDEX('Smelter Look-up'!$A:$A,MATCH($A2146,'Smelter Look-up'!$E:$E,0)))</f>
        <v/>
      </c>
      <c r="C2146" s="179" t="str">
        <f>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303"/>
        <v/>
      </c>
      <c r="T2146" s="174" t="str">
        <f ca="1">IF(B2146="","",IF(ISERROR(MATCH($J2146,SorP!$B$1:$B$6279,0)),"",INDIRECT("'SorP'!$A$"&amp;MATCH($S2146&amp;$J2146,SorP!C:C,0))))</f>
        <v/>
      </c>
      <c r="U2146" s="194"/>
      <c r="V2146" s="218" t="e">
        <f>IF(C2146="",NA(),IF(OR(C2146="Smelter not listed",C2146="Smelter not yet identified"),MATCH($B2146&amp;$D2146,'Smelter Look-up'!$J:$J,0),MATCH($B2146&amp;$C2146,'Smelter Look-up'!$J:$J,0)))</f>
        <v>#N/A</v>
      </c>
      <c r="X2146" s="219">
        <f t="shared" ca="1" si="304"/>
        <v>0</v>
      </c>
      <c r="AB2146" s="220" t="str">
        <f t="shared" si="305"/>
        <v/>
      </c>
    </row>
    <row r="2147" spans="1:28" s="219" customFormat="1" ht="20.25">
      <c r="A2147" s="174"/>
      <c r="B2147" s="175" t="str">
        <f>IF(LEN(A2147)=0,"",INDEX('Smelter Look-up'!$A:$A,MATCH($A2147,'Smelter Look-up'!$E:$E,0)))</f>
        <v/>
      </c>
      <c r="C2147" s="179" t="str">
        <f>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303"/>
        <v/>
      </c>
      <c r="T2147" s="174" t="str">
        <f ca="1">IF(B2147="","",IF(ISERROR(MATCH($J2147,SorP!$B$1:$B$6279,0)),"",INDIRECT("'SorP'!$A$"&amp;MATCH($S2147&amp;$J2147,SorP!C:C,0))))</f>
        <v/>
      </c>
      <c r="U2147" s="194"/>
      <c r="V2147" s="218" t="e">
        <f>IF(C2147="",NA(),IF(OR(C2147="Smelter not listed",C2147="Smelter not yet identified"),MATCH($B2147&amp;$D2147,'Smelter Look-up'!$J:$J,0),MATCH($B2147&amp;$C2147,'Smelter Look-up'!$J:$J,0)))</f>
        <v>#N/A</v>
      </c>
      <c r="X2147" s="219">
        <f t="shared" ca="1" si="304"/>
        <v>0</v>
      </c>
      <c r="AB2147" s="220" t="str">
        <f t="shared" si="305"/>
        <v/>
      </c>
    </row>
    <row r="2148" spans="1:28" s="219" customFormat="1" ht="20.25">
      <c r="A2148" s="174"/>
      <c r="B2148" s="175" t="str">
        <f>IF(LEN(A2148)=0,"",INDEX('Smelter Look-up'!$A:$A,MATCH($A2148,'Smelter Look-up'!$E:$E,0)))</f>
        <v/>
      </c>
      <c r="C2148" s="179" t="str">
        <f>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303"/>
        <v/>
      </c>
      <c r="T2148" s="174" t="str">
        <f ca="1">IF(B2148="","",IF(ISERROR(MATCH($J2148,SorP!$B$1:$B$6279,0)),"",INDIRECT("'SorP'!$A$"&amp;MATCH($S2148&amp;$J2148,SorP!C:C,0))))</f>
        <v/>
      </c>
      <c r="U2148" s="194"/>
      <c r="V2148" s="218" t="e">
        <f>IF(C2148="",NA(),IF(OR(C2148="Smelter not listed",C2148="Smelter not yet identified"),MATCH($B2148&amp;$D2148,'Smelter Look-up'!$J:$J,0),MATCH($B2148&amp;$C2148,'Smelter Look-up'!$J:$J,0)))</f>
        <v>#N/A</v>
      </c>
      <c r="X2148" s="219">
        <f t="shared" ca="1" si="304"/>
        <v>0</v>
      </c>
      <c r="AB2148" s="220" t="str">
        <f t="shared" si="305"/>
        <v/>
      </c>
    </row>
    <row r="2149" spans="1:28" s="219" customFormat="1" ht="20.25">
      <c r="A2149" s="174"/>
      <c r="B2149" s="175" t="str">
        <f>IF(LEN(A2149)=0,"",INDEX('Smelter Look-up'!$A:$A,MATCH($A2149,'Smelter Look-up'!$E:$E,0)))</f>
        <v/>
      </c>
      <c r="C2149" s="179" t="str">
        <f>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303"/>
        <v/>
      </c>
      <c r="T2149" s="174" t="str">
        <f ca="1">IF(B2149="","",IF(ISERROR(MATCH($J2149,SorP!$B$1:$B$6279,0)),"",INDIRECT("'SorP'!$A$"&amp;MATCH($S2149&amp;$J2149,SorP!C:C,0))))</f>
        <v/>
      </c>
      <c r="U2149" s="194"/>
      <c r="V2149" s="218" t="e">
        <f>IF(C2149="",NA(),IF(OR(C2149="Smelter not listed",C2149="Smelter not yet identified"),MATCH($B2149&amp;$D2149,'Smelter Look-up'!$J:$J,0),MATCH($B2149&amp;$C2149,'Smelter Look-up'!$J:$J,0)))</f>
        <v>#N/A</v>
      </c>
      <c r="X2149" s="219">
        <f t="shared" ca="1" si="304"/>
        <v>0</v>
      </c>
      <c r="AB2149" s="220" t="str">
        <f t="shared" si="305"/>
        <v/>
      </c>
    </row>
    <row r="2150" spans="1:28" s="219" customFormat="1" ht="20.25">
      <c r="A2150" s="174"/>
      <c r="B2150" s="175" t="str">
        <f>IF(LEN(A2150)=0,"",INDEX('Smelter Look-up'!$A:$A,MATCH($A2150,'Smelter Look-up'!$E:$E,0)))</f>
        <v/>
      </c>
      <c r="C2150" s="179" t="str">
        <f>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303"/>
        <v/>
      </c>
      <c r="T2150" s="174" t="str">
        <f ca="1">IF(B2150="","",IF(ISERROR(MATCH($J2150,SorP!$B$1:$B$6279,0)),"",INDIRECT("'SorP'!$A$"&amp;MATCH($S2150&amp;$J2150,SorP!C:C,0))))</f>
        <v/>
      </c>
      <c r="U2150" s="194"/>
      <c r="V2150" s="218" t="e">
        <f>IF(C2150="",NA(),IF(OR(C2150="Smelter not listed",C2150="Smelter not yet identified"),MATCH($B2150&amp;$D2150,'Smelter Look-up'!$J:$J,0),MATCH($B2150&amp;$C2150,'Smelter Look-up'!$J:$J,0)))</f>
        <v>#N/A</v>
      </c>
      <c r="X2150" s="219">
        <f t="shared" ca="1" si="304"/>
        <v>0</v>
      </c>
      <c r="AB2150" s="220" t="str">
        <f t="shared" si="305"/>
        <v/>
      </c>
    </row>
    <row r="2151" spans="1:28" s="219" customFormat="1" ht="20.25">
      <c r="A2151" s="174"/>
      <c r="B2151" s="175" t="str">
        <f>IF(LEN(A2151)=0,"",INDEX('Smelter Look-up'!$A:$A,MATCH($A2151,'Smelter Look-up'!$E:$E,0)))</f>
        <v/>
      </c>
      <c r="C2151" s="179" t="str">
        <f>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303"/>
        <v/>
      </c>
      <c r="T2151" s="174" t="str">
        <f ca="1">IF(B2151="","",IF(ISERROR(MATCH($J2151,SorP!$B$1:$B$6279,0)),"",INDIRECT("'SorP'!$A$"&amp;MATCH($S2151&amp;$J2151,SorP!C:C,0))))</f>
        <v/>
      </c>
      <c r="U2151" s="194"/>
      <c r="V2151" s="218" t="e">
        <f>IF(C2151="",NA(),IF(OR(C2151="Smelter not listed",C2151="Smelter not yet identified"),MATCH($B2151&amp;$D2151,'Smelter Look-up'!$J:$J,0),MATCH($B2151&amp;$C2151,'Smelter Look-up'!$J:$J,0)))</f>
        <v>#N/A</v>
      </c>
      <c r="X2151" s="219">
        <f t="shared" ca="1" si="304"/>
        <v>0</v>
      </c>
      <c r="AB2151" s="220" t="str">
        <f t="shared" si="305"/>
        <v/>
      </c>
    </row>
    <row r="2152" spans="1:28" s="219" customFormat="1" ht="20.25">
      <c r="A2152" s="174"/>
      <c r="B2152" s="175" t="str">
        <f>IF(LEN(A2152)=0,"",INDEX('Smelter Look-up'!$A:$A,MATCH($A2152,'Smelter Look-up'!$E:$E,0)))</f>
        <v/>
      </c>
      <c r="C2152" s="179" t="str">
        <f>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303"/>
        <v/>
      </c>
      <c r="T2152" s="174" t="str">
        <f ca="1">IF(B2152="","",IF(ISERROR(MATCH($J2152,SorP!$B$1:$B$6279,0)),"",INDIRECT("'SorP'!$A$"&amp;MATCH($S2152&amp;$J2152,SorP!C:C,0))))</f>
        <v/>
      </c>
      <c r="U2152" s="194"/>
      <c r="V2152" s="218" t="e">
        <f>IF(C2152="",NA(),IF(OR(C2152="Smelter not listed",C2152="Smelter not yet identified"),MATCH($B2152&amp;$D2152,'Smelter Look-up'!$J:$J,0),MATCH($B2152&amp;$C2152,'Smelter Look-up'!$J:$J,0)))</f>
        <v>#N/A</v>
      </c>
      <c r="X2152" s="219">
        <f t="shared" ca="1" si="304"/>
        <v>0</v>
      </c>
      <c r="AB2152" s="220" t="str">
        <f t="shared" si="305"/>
        <v/>
      </c>
    </row>
    <row r="2153" spans="1:28" s="219" customFormat="1" ht="20.25">
      <c r="A2153" s="174"/>
      <c r="B2153" s="175" t="str">
        <f>IF(LEN(A2153)=0,"",INDEX('Smelter Look-up'!$A:$A,MATCH($A2153,'Smelter Look-up'!$E:$E,0)))</f>
        <v/>
      </c>
      <c r="C2153" s="179" t="str">
        <f>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303"/>
        <v/>
      </c>
      <c r="T2153" s="174" t="str">
        <f ca="1">IF(B2153="","",IF(ISERROR(MATCH($J2153,SorP!$B$1:$B$6279,0)),"",INDIRECT("'SorP'!$A$"&amp;MATCH($S2153&amp;$J2153,SorP!C:C,0))))</f>
        <v/>
      </c>
      <c r="U2153" s="194"/>
      <c r="V2153" s="218" t="e">
        <f>IF(C2153="",NA(),IF(OR(C2153="Smelter not listed",C2153="Smelter not yet identified"),MATCH($B2153&amp;$D2153,'Smelter Look-up'!$J:$J,0),MATCH($B2153&amp;$C2153,'Smelter Look-up'!$J:$J,0)))</f>
        <v>#N/A</v>
      </c>
      <c r="X2153" s="219">
        <f t="shared" ca="1" si="304"/>
        <v>0</v>
      </c>
      <c r="AB2153" s="220" t="str">
        <f t="shared" si="305"/>
        <v/>
      </c>
    </row>
    <row r="2154" spans="1:28" s="219" customFormat="1" ht="20.25">
      <c r="A2154" s="174"/>
      <c r="B2154" s="175" t="str">
        <f>IF(LEN(A2154)=0,"",INDEX('Smelter Look-up'!$A:$A,MATCH($A2154,'Smelter Look-up'!$E:$E,0)))</f>
        <v/>
      </c>
      <c r="C2154" s="179" t="str">
        <f>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303"/>
        <v/>
      </c>
      <c r="T2154" s="174" t="str">
        <f ca="1">IF(B2154="","",IF(ISERROR(MATCH($J2154,SorP!$B$1:$B$6279,0)),"",INDIRECT("'SorP'!$A$"&amp;MATCH($S2154&amp;$J2154,SorP!C:C,0))))</f>
        <v/>
      </c>
      <c r="U2154" s="194"/>
      <c r="V2154" s="218" t="e">
        <f>IF(C2154="",NA(),IF(OR(C2154="Smelter not listed",C2154="Smelter not yet identified"),MATCH($B2154&amp;$D2154,'Smelter Look-up'!$J:$J,0),MATCH($B2154&amp;$C2154,'Smelter Look-up'!$J:$J,0)))</f>
        <v>#N/A</v>
      </c>
      <c r="X2154" s="219">
        <f t="shared" ca="1" si="304"/>
        <v>0</v>
      </c>
      <c r="AB2154" s="220" t="str">
        <f t="shared" si="305"/>
        <v/>
      </c>
    </row>
    <row r="2155" spans="1:28" s="219" customFormat="1" ht="20.25">
      <c r="A2155" s="174"/>
      <c r="B2155" s="175" t="str">
        <f>IF(LEN(A2155)=0,"",INDEX('Smelter Look-up'!$A:$A,MATCH($A2155,'Smelter Look-up'!$E:$E,0)))</f>
        <v/>
      </c>
      <c r="C2155" s="179" t="str">
        <f>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303"/>
        <v/>
      </c>
      <c r="T2155" s="174" t="str">
        <f ca="1">IF(B2155="","",IF(ISERROR(MATCH($J2155,SorP!$B$1:$B$6279,0)),"",INDIRECT("'SorP'!$A$"&amp;MATCH($S2155&amp;$J2155,SorP!C:C,0))))</f>
        <v/>
      </c>
      <c r="U2155" s="194"/>
      <c r="V2155" s="218" t="e">
        <f>IF(C2155="",NA(),IF(OR(C2155="Smelter not listed",C2155="Smelter not yet identified"),MATCH($B2155&amp;$D2155,'Smelter Look-up'!$J:$J,0),MATCH($B2155&amp;$C2155,'Smelter Look-up'!$J:$J,0)))</f>
        <v>#N/A</v>
      </c>
      <c r="X2155" s="219">
        <f t="shared" ca="1" si="304"/>
        <v>0</v>
      </c>
      <c r="AB2155" s="220" t="str">
        <f t="shared" si="305"/>
        <v/>
      </c>
    </row>
    <row r="2156" spans="1:28" s="219" customFormat="1" ht="20.25">
      <c r="A2156" s="174"/>
      <c r="B2156" s="175" t="str">
        <f>IF(LEN(A2156)=0,"",INDEX('Smelter Look-up'!$A:$A,MATCH($A2156,'Smelter Look-up'!$E:$E,0)))</f>
        <v/>
      </c>
      <c r="C2156" s="179" t="str">
        <f>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303"/>
        <v/>
      </c>
      <c r="T2156" s="174" t="str">
        <f ca="1">IF(B2156="","",IF(ISERROR(MATCH($J2156,SorP!$B$1:$B$6279,0)),"",INDIRECT("'SorP'!$A$"&amp;MATCH($S2156&amp;$J2156,SorP!C:C,0))))</f>
        <v/>
      </c>
      <c r="U2156" s="194"/>
      <c r="V2156" s="218" t="e">
        <f>IF(C2156="",NA(),IF(OR(C2156="Smelter not listed",C2156="Smelter not yet identified"),MATCH($B2156&amp;$D2156,'Smelter Look-up'!$J:$J,0),MATCH($B2156&amp;$C2156,'Smelter Look-up'!$J:$J,0)))</f>
        <v>#N/A</v>
      </c>
      <c r="X2156" s="219">
        <f t="shared" ca="1" si="304"/>
        <v>0</v>
      </c>
      <c r="AB2156" s="220" t="str">
        <f t="shared" si="305"/>
        <v/>
      </c>
    </row>
    <row r="2157" spans="1:28" s="219" customFormat="1" ht="20.25">
      <c r="A2157" s="174"/>
      <c r="B2157" s="175" t="str">
        <f>IF(LEN(A2157)=0,"",INDEX('Smelter Look-up'!$A:$A,MATCH($A2157,'Smelter Look-up'!$E:$E,0)))</f>
        <v/>
      </c>
      <c r="C2157" s="179" t="str">
        <f>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303"/>
        <v/>
      </c>
      <c r="T2157" s="174" t="str">
        <f ca="1">IF(B2157="","",IF(ISERROR(MATCH($J2157,SorP!$B$1:$B$6279,0)),"",INDIRECT("'SorP'!$A$"&amp;MATCH($S2157&amp;$J2157,SorP!C:C,0))))</f>
        <v/>
      </c>
      <c r="U2157" s="194"/>
      <c r="V2157" s="218" t="e">
        <f>IF(C2157="",NA(),IF(OR(C2157="Smelter not listed",C2157="Smelter not yet identified"),MATCH($B2157&amp;$D2157,'Smelter Look-up'!$J:$J,0),MATCH($B2157&amp;$C2157,'Smelter Look-up'!$J:$J,0)))</f>
        <v>#N/A</v>
      </c>
      <c r="X2157" s="219">
        <f t="shared" ca="1" si="304"/>
        <v>0</v>
      </c>
      <c r="AB2157" s="220" t="str">
        <f t="shared" si="305"/>
        <v/>
      </c>
    </row>
    <row r="2158" spans="1:28" s="219" customFormat="1" ht="20.25">
      <c r="A2158" s="174"/>
      <c r="B2158" s="175" t="str">
        <f>IF(LEN(A2158)=0,"",INDEX('Smelter Look-up'!$A:$A,MATCH($A2158,'Smelter Look-up'!$E:$E,0)))</f>
        <v/>
      </c>
      <c r="C2158" s="179" t="str">
        <f>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303"/>
        <v/>
      </c>
      <c r="T2158" s="174" t="str">
        <f ca="1">IF(B2158="","",IF(ISERROR(MATCH($J2158,SorP!$B$1:$B$6279,0)),"",INDIRECT("'SorP'!$A$"&amp;MATCH($S2158&amp;$J2158,SorP!C:C,0))))</f>
        <v/>
      </c>
      <c r="U2158" s="194"/>
      <c r="V2158" s="218" t="e">
        <f>IF(C2158="",NA(),IF(OR(C2158="Smelter not listed",C2158="Smelter not yet identified"),MATCH($B2158&amp;$D2158,'Smelter Look-up'!$J:$J,0),MATCH($B2158&amp;$C2158,'Smelter Look-up'!$J:$J,0)))</f>
        <v>#N/A</v>
      </c>
      <c r="X2158" s="219">
        <f t="shared" ca="1" si="304"/>
        <v>0</v>
      </c>
      <c r="AB2158" s="220" t="str">
        <f t="shared" si="305"/>
        <v/>
      </c>
    </row>
    <row r="2159" spans="1:28" s="219" customFormat="1" ht="20.25">
      <c r="A2159" s="174"/>
      <c r="B2159" s="175" t="str">
        <f>IF(LEN(A2159)=0,"",INDEX('Smelter Look-up'!$A:$A,MATCH($A2159,'Smelter Look-up'!$E:$E,0)))</f>
        <v/>
      </c>
      <c r="C2159" s="179" t="str">
        <f>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303"/>
        <v/>
      </c>
      <c r="T2159" s="174" t="str">
        <f ca="1">IF(B2159="","",IF(ISERROR(MATCH($J2159,SorP!$B$1:$B$6279,0)),"",INDIRECT("'SorP'!$A$"&amp;MATCH($S2159&amp;$J2159,SorP!C:C,0))))</f>
        <v/>
      </c>
      <c r="U2159" s="194"/>
      <c r="V2159" s="218" t="e">
        <f>IF(C2159="",NA(),IF(OR(C2159="Smelter not listed",C2159="Smelter not yet identified"),MATCH($B2159&amp;$D2159,'Smelter Look-up'!$J:$J,0),MATCH($B2159&amp;$C2159,'Smelter Look-up'!$J:$J,0)))</f>
        <v>#N/A</v>
      </c>
      <c r="X2159" s="219">
        <f t="shared" ca="1" si="304"/>
        <v>0</v>
      </c>
      <c r="AB2159" s="220" t="str">
        <f t="shared" si="305"/>
        <v/>
      </c>
    </row>
    <row r="2160" spans="1:28" s="219" customFormat="1" ht="20.25">
      <c r="A2160" s="174"/>
      <c r="B2160" s="175" t="str">
        <f>IF(LEN(A2160)=0,"",INDEX('Smelter Look-up'!$A:$A,MATCH($A2160,'Smelter Look-up'!$E:$E,0)))</f>
        <v/>
      </c>
      <c r="C2160" s="179" t="str">
        <f>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303"/>
        <v/>
      </c>
      <c r="T2160" s="174" t="str">
        <f ca="1">IF(B2160="","",IF(ISERROR(MATCH($J2160,SorP!$B$1:$B$6279,0)),"",INDIRECT("'SorP'!$A$"&amp;MATCH($S2160&amp;$J2160,SorP!C:C,0))))</f>
        <v/>
      </c>
      <c r="U2160" s="194"/>
      <c r="V2160" s="218" t="e">
        <f>IF(C2160="",NA(),IF(OR(C2160="Smelter not listed",C2160="Smelter not yet identified"),MATCH($B2160&amp;$D2160,'Smelter Look-up'!$J:$J,0),MATCH($B2160&amp;$C2160,'Smelter Look-up'!$J:$J,0)))</f>
        <v>#N/A</v>
      </c>
      <c r="X2160" s="219">
        <f t="shared" ca="1" si="304"/>
        <v>0</v>
      </c>
      <c r="AB2160" s="220" t="str">
        <f t="shared" si="305"/>
        <v/>
      </c>
    </row>
    <row r="2161" spans="1:28" s="219" customFormat="1" ht="20.25">
      <c r="A2161" s="174"/>
      <c r="B2161" s="175" t="str">
        <f>IF(LEN(A2161)=0,"",INDEX('Smelter Look-up'!$A:$A,MATCH($A2161,'Smelter Look-up'!$E:$E,0)))</f>
        <v/>
      </c>
      <c r="C2161" s="179" t="str">
        <f>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303"/>
        <v/>
      </c>
      <c r="T2161" s="174" t="str">
        <f ca="1">IF(B2161="","",IF(ISERROR(MATCH($J2161,SorP!$B$1:$B$6279,0)),"",INDIRECT("'SorP'!$A$"&amp;MATCH($S2161&amp;$J2161,SorP!C:C,0))))</f>
        <v/>
      </c>
      <c r="U2161" s="194"/>
      <c r="V2161" s="218" t="e">
        <f>IF(C2161="",NA(),IF(OR(C2161="Smelter not listed",C2161="Smelter not yet identified"),MATCH($B2161&amp;$D2161,'Smelter Look-up'!$J:$J,0),MATCH($B2161&amp;$C2161,'Smelter Look-up'!$J:$J,0)))</f>
        <v>#N/A</v>
      </c>
      <c r="X2161" s="219">
        <f t="shared" ca="1" si="304"/>
        <v>0</v>
      </c>
      <c r="AB2161" s="220" t="str">
        <f t="shared" si="305"/>
        <v/>
      </c>
    </row>
    <row r="2162" spans="1:28" s="219" customFormat="1" ht="20.25">
      <c r="A2162" s="174"/>
      <c r="B2162" s="175" t="str">
        <f>IF(LEN(A2162)=0,"",INDEX('Smelter Look-up'!$A:$A,MATCH($A2162,'Smelter Look-up'!$E:$E,0)))</f>
        <v/>
      </c>
      <c r="C2162" s="179" t="str">
        <f>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303"/>
        <v/>
      </c>
      <c r="T2162" s="174" t="str">
        <f ca="1">IF(B2162="","",IF(ISERROR(MATCH($J2162,SorP!$B$1:$B$6279,0)),"",INDIRECT("'SorP'!$A$"&amp;MATCH($S2162&amp;$J2162,SorP!C:C,0))))</f>
        <v/>
      </c>
      <c r="U2162" s="194"/>
      <c r="V2162" s="218" t="e">
        <f>IF(C2162="",NA(),IF(OR(C2162="Smelter not listed",C2162="Smelter not yet identified"),MATCH($B2162&amp;$D2162,'Smelter Look-up'!$J:$J,0),MATCH($B2162&amp;$C2162,'Smelter Look-up'!$J:$J,0)))</f>
        <v>#N/A</v>
      </c>
      <c r="X2162" s="219">
        <f t="shared" ca="1" si="304"/>
        <v>0</v>
      </c>
      <c r="AB2162" s="220" t="str">
        <f t="shared" si="305"/>
        <v/>
      </c>
    </row>
    <row r="2163" spans="1:28" s="219" customFormat="1" ht="20.25">
      <c r="A2163" s="174"/>
      <c r="B2163" s="175" t="str">
        <f>IF(LEN(A2163)=0,"",INDEX('Smelter Look-up'!$A:$A,MATCH($A2163,'Smelter Look-up'!$E:$E,0)))</f>
        <v/>
      </c>
      <c r="C2163" s="179" t="str">
        <f>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303"/>
        <v/>
      </c>
      <c r="T2163" s="174" t="str">
        <f ca="1">IF(B2163="","",IF(ISERROR(MATCH($J2163,SorP!$B$1:$B$6279,0)),"",INDIRECT("'SorP'!$A$"&amp;MATCH($S2163&amp;$J2163,SorP!C:C,0))))</f>
        <v/>
      </c>
      <c r="U2163" s="194"/>
      <c r="V2163" s="218" t="e">
        <f>IF(C2163="",NA(),IF(OR(C2163="Smelter not listed",C2163="Smelter not yet identified"),MATCH($B2163&amp;$D2163,'Smelter Look-up'!$J:$J,0),MATCH($B2163&amp;$C2163,'Smelter Look-up'!$J:$J,0)))</f>
        <v>#N/A</v>
      </c>
      <c r="X2163" s="219">
        <f t="shared" ca="1" si="304"/>
        <v>0</v>
      </c>
      <c r="AB2163" s="220" t="str">
        <f t="shared" si="305"/>
        <v/>
      </c>
    </row>
    <row r="2164" spans="1:28" s="219" customFormat="1" ht="20.25">
      <c r="A2164" s="174"/>
      <c r="B2164" s="175" t="str">
        <f>IF(LEN(A2164)=0,"",INDEX('Smelter Look-up'!$A:$A,MATCH($A2164,'Smelter Look-up'!$E:$E,0)))</f>
        <v/>
      </c>
      <c r="C2164" s="179" t="str">
        <f>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303"/>
        <v/>
      </c>
      <c r="T2164" s="174" t="str">
        <f ca="1">IF(B2164="","",IF(ISERROR(MATCH($J2164,SorP!$B$1:$B$6279,0)),"",INDIRECT("'SorP'!$A$"&amp;MATCH($S2164&amp;$J2164,SorP!C:C,0))))</f>
        <v/>
      </c>
      <c r="U2164" s="194"/>
      <c r="V2164" s="218" t="e">
        <f>IF(C2164="",NA(),IF(OR(C2164="Smelter not listed",C2164="Smelter not yet identified"),MATCH($B2164&amp;$D2164,'Smelter Look-up'!$J:$J,0),MATCH($B2164&amp;$C2164,'Smelter Look-up'!$J:$J,0)))</f>
        <v>#N/A</v>
      </c>
      <c r="X2164" s="219">
        <f t="shared" ca="1" si="304"/>
        <v>0</v>
      </c>
      <c r="AB2164" s="220" t="str">
        <f t="shared" si="305"/>
        <v/>
      </c>
    </row>
    <row r="2165" spans="1:28" s="219" customFormat="1" ht="20.25">
      <c r="A2165" s="174"/>
      <c r="B2165" s="175" t="str">
        <f>IF(LEN(A2165)=0,"",INDEX('Smelter Look-up'!$A:$A,MATCH($A2165,'Smelter Look-up'!$E:$E,0)))</f>
        <v/>
      </c>
      <c r="C2165" s="179" t="str">
        <f>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303"/>
        <v/>
      </c>
      <c r="T2165" s="174" t="str">
        <f ca="1">IF(B2165="","",IF(ISERROR(MATCH($J2165,SorP!$B$1:$B$6279,0)),"",INDIRECT("'SorP'!$A$"&amp;MATCH($S2165&amp;$J2165,SorP!C:C,0))))</f>
        <v/>
      </c>
      <c r="U2165" s="194"/>
      <c r="V2165" s="218" t="e">
        <f>IF(C2165="",NA(),IF(OR(C2165="Smelter not listed",C2165="Smelter not yet identified"),MATCH($B2165&amp;$D2165,'Smelter Look-up'!$J:$J,0),MATCH($B2165&amp;$C2165,'Smelter Look-up'!$J:$J,0)))</f>
        <v>#N/A</v>
      </c>
      <c r="X2165" s="219">
        <f t="shared" ca="1" si="304"/>
        <v>0</v>
      </c>
      <c r="AB2165" s="220" t="str">
        <f t="shared" si="305"/>
        <v/>
      </c>
    </row>
    <row r="2166" spans="1:28" s="219" customFormat="1" ht="20.25">
      <c r="A2166" s="174"/>
      <c r="B2166" s="175" t="str">
        <f>IF(LEN(A2166)=0,"",INDEX('Smelter Look-up'!$A:$A,MATCH($A2166,'Smelter Look-up'!$E:$E,0)))</f>
        <v/>
      </c>
      <c r="C2166" s="179" t="str">
        <f>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303"/>
        <v/>
      </c>
      <c r="T2166" s="174" t="str">
        <f ca="1">IF(B2166="","",IF(ISERROR(MATCH($J2166,SorP!$B$1:$B$6279,0)),"",INDIRECT("'SorP'!$A$"&amp;MATCH($S2166&amp;$J2166,SorP!C:C,0))))</f>
        <v/>
      </c>
      <c r="U2166" s="194"/>
      <c r="V2166" s="218" t="e">
        <f>IF(C2166="",NA(),IF(OR(C2166="Smelter not listed",C2166="Smelter not yet identified"),MATCH($B2166&amp;$D2166,'Smelter Look-up'!$J:$J,0),MATCH($B2166&amp;$C2166,'Smelter Look-up'!$J:$J,0)))</f>
        <v>#N/A</v>
      </c>
      <c r="X2166" s="219">
        <f t="shared" ca="1" si="304"/>
        <v>0</v>
      </c>
      <c r="AB2166" s="220" t="str">
        <f t="shared" si="305"/>
        <v/>
      </c>
    </row>
    <row r="2167" spans="1:28" s="219" customFormat="1" ht="20.25">
      <c r="A2167" s="174"/>
      <c r="B2167" s="175" t="str">
        <f>IF(LEN(A2167)=0,"",INDEX('Smelter Look-up'!$A:$A,MATCH($A2167,'Smelter Look-up'!$E:$E,0)))</f>
        <v/>
      </c>
      <c r="C2167" s="179" t="str">
        <f>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303"/>
        <v/>
      </c>
      <c r="T2167" s="174" t="str">
        <f ca="1">IF(B2167="","",IF(ISERROR(MATCH($J2167,SorP!$B$1:$B$6279,0)),"",INDIRECT("'SorP'!$A$"&amp;MATCH($S2167&amp;$J2167,SorP!C:C,0))))</f>
        <v/>
      </c>
      <c r="U2167" s="194"/>
      <c r="V2167" s="218" t="e">
        <f>IF(C2167="",NA(),IF(OR(C2167="Smelter not listed",C2167="Smelter not yet identified"),MATCH($B2167&amp;$D2167,'Smelter Look-up'!$J:$J,0),MATCH($B2167&amp;$C2167,'Smelter Look-up'!$J:$J,0)))</f>
        <v>#N/A</v>
      </c>
      <c r="X2167" s="219">
        <f t="shared" ca="1" si="304"/>
        <v>0</v>
      </c>
      <c r="AB2167" s="220" t="str">
        <f t="shared" si="305"/>
        <v/>
      </c>
    </row>
    <row r="2168" spans="1:28" s="219" customFormat="1" ht="20.25">
      <c r="A2168" s="174"/>
      <c r="B2168" s="175" t="str">
        <f>IF(LEN(A2168)=0,"",INDEX('Smelter Look-up'!$A:$A,MATCH($A2168,'Smelter Look-up'!$E:$E,0)))</f>
        <v/>
      </c>
      <c r="C2168" s="179" t="str">
        <f>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303"/>
        <v/>
      </c>
      <c r="T2168" s="174" t="str">
        <f ca="1">IF(B2168="","",IF(ISERROR(MATCH($J2168,SorP!$B$1:$B$6279,0)),"",INDIRECT("'SorP'!$A$"&amp;MATCH($S2168&amp;$J2168,SorP!C:C,0))))</f>
        <v/>
      </c>
      <c r="U2168" s="194"/>
      <c r="V2168" s="218" t="e">
        <f>IF(C2168="",NA(),IF(OR(C2168="Smelter not listed",C2168="Smelter not yet identified"),MATCH($B2168&amp;$D2168,'Smelter Look-up'!$J:$J,0),MATCH($B2168&amp;$C2168,'Smelter Look-up'!$J:$J,0)))</f>
        <v>#N/A</v>
      </c>
      <c r="X2168" s="219">
        <f t="shared" ca="1" si="304"/>
        <v>0</v>
      </c>
      <c r="AB2168" s="220" t="str">
        <f t="shared" si="305"/>
        <v/>
      </c>
    </row>
    <row r="2169" spans="1:28" s="219" customFormat="1" ht="20.25">
      <c r="A2169" s="174"/>
      <c r="B2169" s="175" t="str">
        <f>IF(LEN(A2169)=0,"",INDEX('Smelter Look-up'!$A:$A,MATCH($A2169,'Smelter Look-up'!$E:$E,0)))</f>
        <v/>
      </c>
      <c r="C2169" s="179" t="str">
        <f>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ca="1" si="303"/>
        <v/>
      </c>
      <c r="T2169" s="174" t="str">
        <f ca="1">IF(B2169="","",IF(ISERROR(MATCH($J2169,SorP!$B$1:$B$6279,0)),"",INDIRECT("'SorP'!$A$"&amp;MATCH($S2169&amp;$J2169,SorP!C:C,0))))</f>
        <v/>
      </c>
      <c r="U2169" s="194"/>
      <c r="V2169" s="218" t="e">
        <f>IF(C2169="",NA(),IF(OR(C2169="Smelter not listed",C2169="Smelter not yet identified"),MATCH($B2169&amp;$D2169,'Smelter Look-up'!$J:$J,0),MATCH($B2169&amp;$C2169,'Smelter Look-up'!$J:$J,0)))</f>
        <v>#N/A</v>
      </c>
      <c r="X2169" s="219">
        <f t="shared" ca="1" si="304"/>
        <v>0</v>
      </c>
      <c r="AB2169" s="220" t="str">
        <f t="shared" si="305"/>
        <v/>
      </c>
    </row>
    <row r="2170" spans="1:28" s="219" customFormat="1" ht="20.25">
      <c r="A2170" s="174"/>
      <c r="B2170" s="175" t="str">
        <f>IF(LEN(A2170)=0,"",INDEX('Smelter Look-up'!$A:$A,MATCH($A2170,'Smelter Look-up'!$E:$E,0)))</f>
        <v/>
      </c>
      <c r="C2170" s="179" t="str">
        <f>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ca="1" si="303"/>
        <v/>
      </c>
      <c r="T2170" s="174" t="str">
        <f ca="1">IF(B2170="","",IF(ISERROR(MATCH($J2170,SorP!$B$1:$B$6279,0)),"",INDIRECT("'SorP'!$A$"&amp;MATCH($S2170&amp;$J2170,SorP!C:C,0))))</f>
        <v/>
      </c>
      <c r="U2170" s="194"/>
      <c r="V2170" s="218" t="e">
        <f>IF(C2170="",NA(),IF(OR(C2170="Smelter not listed",C2170="Smelter not yet identified"),MATCH($B2170&amp;$D2170,'Smelter Look-up'!$J:$J,0),MATCH($B2170&amp;$C2170,'Smelter Look-up'!$J:$J,0)))</f>
        <v>#N/A</v>
      </c>
      <c r="X2170" s="219">
        <f t="shared" ca="1" si="304"/>
        <v>0</v>
      </c>
      <c r="AB2170" s="220" t="str">
        <f t="shared" si="305"/>
        <v/>
      </c>
    </row>
    <row r="2171" spans="1:28" s="219" customFormat="1" ht="20.25">
      <c r="A2171" s="174"/>
      <c r="B2171" s="175" t="str">
        <f>IF(LEN(A2171)=0,"",INDEX('Smelter Look-up'!$A:$A,MATCH($A2171,'Smelter Look-up'!$E:$E,0)))</f>
        <v/>
      </c>
      <c r="C2171" s="179" t="str">
        <f>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t="shared" ref="S2171" ca="1" si="306">IF(B2171="","",IF(ISERROR(MATCH($E2171,CL,0)),"Unknown",INDIRECT("'C'!$A$"&amp;MATCH($E2171,CL,0)+1)))</f>
        <v/>
      </c>
      <c r="T2171" s="174" t="str">
        <f ca="1">IF(B2171="","",IF(ISERROR(MATCH($J2171,SorP!$B$1:$B$6279,0)),"",INDIRECT("'SorP'!$A$"&amp;MATCH($S2171&amp;$J2171,SorP!C:C,0))))</f>
        <v/>
      </c>
      <c r="U2171" s="194"/>
      <c r="V2171" s="218" t="e">
        <f>IF(C2171="",NA(),IF(OR(C2171="Smelter not listed",C2171="Smelter not yet identified"),MATCH($B2171&amp;$D2171,'Smelter Look-up'!$J:$J,0),MATCH($B2171&amp;$C2171,'Smelter Look-up'!$J:$J,0)))</f>
        <v>#N/A</v>
      </c>
      <c r="X2171" s="219">
        <f t="shared" ref="X2171" ca="1" si="307">IF(AND(C2171="Smelter not listed",OR(LEN(D2171)=0,LEN(E2171)=0)),1,0)</f>
        <v>0</v>
      </c>
      <c r="AB2171" s="220" t="str">
        <f t="shared" ref="AB2171" si="308">B2171&amp;C2171</f>
        <v/>
      </c>
    </row>
    <row r="2172" spans="1:28" s="219" customFormat="1" ht="20.25">
      <c r="A2172" s="174"/>
      <c r="B2172" s="175" t="str">
        <f>IF(LEN(A2172)=0,"",INDEX('Smelter Look-up'!$A:$A,MATCH($A2172,'Smelter Look-up'!$E:$E,0)))</f>
        <v/>
      </c>
      <c r="C2172" s="179" t="str">
        <f>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ref="S2172:S2203" ca="1" si="309">IF(B2172="","",IF(ISERROR(MATCH($E2172,CL,0)),"Unknown",INDIRECT("'C'!$A$"&amp;MATCH($E2172,CL,0)+1)))</f>
        <v/>
      </c>
      <c r="T2172" s="174" t="str">
        <f ca="1">IF(B2172="","",IF(ISERROR(MATCH($J2172,SorP!$B$1:$B$6279,0)),"",INDIRECT("'SorP'!$A$"&amp;MATCH($S2172&amp;$J2172,SorP!C:C,0))))</f>
        <v/>
      </c>
      <c r="U2172" s="194"/>
      <c r="V2172" s="218" t="e">
        <f>IF(C2172="",NA(),IF(OR(C2172="Smelter not listed",C2172="Smelter not yet identified"),MATCH($B2172&amp;$D2172,'Smelter Look-up'!$J:$J,0),MATCH($B2172&amp;$C2172,'Smelter Look-up'!$J:$J,0)))</f>
        <v>#N/A</v>
      </c>
      <c r="X2172" s="219">
        <f t="shared" ref="X2172:X2203" ca="1" si="310">IF(AND(C2172="Smelter not listed",OR(LEN(D2172)=0,LEN(E2172)=0)),1,0)</f>
        <v>0</v>
      </c>
      <c r="AB2172" s="220" t="str">
        <f t="shared" ref="AB2172:AB2203" si="311">B2172&amp;C2172</f>
        <v/>
      </c>
    </row>
    <row r="2173" spans="1:28" s="219" customFormat="1" ht="20.25">
      <c r="A2173" s="174"/>
      <c r="B2173" s="175" t="str">
        <f>IF(LEN(A2173)=0,"",INDEX('Smelter Look-up'!$A:$A,MATCH($A2173,'Smelter Look-up'!$E:$E,0)))</f>
        <v/>
      </c>
      <c r="C2173" s="179" t="str">
        <f>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309"/>
        <v/>
      </c>
      <c r="T2173" s="174" t="str">
        <f ca="1">IF(B2173="","",IF(ISERROR(MATCH($J2173,SorP!$B$1:$B$6279,0)),"",INDIRECT("'SorP'!$A$"&amp;MATCH($S2173&amp;$J2173,SorP!C:C,0))))</f>
        <v/>
      </c>
      <c r="U2173" s="194"/>
      <c r="V2173" s="218" t="e">
        <f>IF(C2173="",NA(),IF(OR(C2173="Smelter not listed",C2173="Smelter not yet identified"),MATCH($B2173&amp;$D2173,'Smelter Look-up'!$J:$J,0),MATCH($B2173&amp;$C2173,'Smelter Look-up'!$J:$J,0)))</f>
        <v>#N/A</v>
      </c>
      <c r="X2173" s="219">
        <f t="shared" ca="1" si="310"/>
        <v>0</v>
      </c>
      <c r="AB2173" s="220" t="str">
        <f t="shared" si="311"/>
        <v/>
      </c>
    </row>
    <row r="2174" spans="1:28" s="219" customFormat="1" ht="20.25">
      <c r="A2174" s="174"/>
      <c r="B2174" s="175" t="str">
        <f>IF(LEN(A2174)=0,"",INDEX('Smelter Look-up'!$A:$A,MATCH($A2174,'Smelter Look-up'!$E:$E,0)))</f>
        <v/>
      </c>
      <c r="C2174" s="179" t="str">
        <f>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309"/>
        <v/>
      </c>
      <c r="T2174" s="174" t="str">
        <f ca="1">IF(B2174="","",IF(ISERROR(MATCH($J2174,SorP!$B$1:$B$6279,0)),"",INDIRECT("'SorP'!$A$"&amp;MATCH($S2174&amp;$J2174,SorP!C:C,0))))</f>
        <v/>
      </c>
      <c r="U2174" s="194"/>
      <c r="V2174" s="218" t="e">
        <f>IF(C2174="",NA(),IF(OR(C2174="Smelter not listed",C2174="Smelter not yet identified"),MATCH($B2174&amp;$D2174,'Smelter Look-up'!$J:$J,0),MATCH($B2174&amp;$C2174,'Smelter Look-up'!$J:$J,0)))</f>
        <v>#N/A</v>
      </c>
      <c r="X2174" s="219">
        <f t="shared" ca="1" si="310"/>
        <v>0</v>
      </c>
      <c r="AB2174" s="220" t="str">
        <f t="shared" si="311"/>
        <v/>
      </c>
    </row>
    <row r="2175" spans="1:28" s="219" customFormat="1" ht="20.25">
      <c r="A2175" s="174"/>
      <c r="B2175" s="175" t="str">
        <f>IF(LEN(A2175)=0,"",INDEX('Smelter Look-up'!$A:$A,MATCH($A2175,'Smelter Look-up'!$E:$E,0)))</f>
        <v/>
      </c>
      <c r="C2175" s="179" t="str">
        <f>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309"/>
        <v/>
      </c>
      <c r="T2175" s="174" t="str">
        <f ca="1">IF(B2175="","",IF(ISERROR(MATCH($J2175,SorP!$B$1:$B$6279,0)),"",INDIRECT("'SorP'!$A$"&amp;MATCH($S2175&amp;$J2175,SorP!C:C,0))))</f>
        <v/>
      </c>
      <c r="U2175" s="194"/>
      <c r="V2175" s="218" t="e">
        <f>IF(C2175="",NA(),IF(OR(C2175="Smelter not listed",C2175="Smelter not yet identified"),MATCH($B2175&amp;$D2175,'Smelter Look-up'!$J:$J,0),MATCH($B2175&amp;$C2175,'Smelter Look-up'!$J:$J,0)))</f>
        <v>#N/A</v>
      </c>
      <c r="X2175" s="219">
        <f t="shared" ca="1" si="310"/>
        <v>0</v>
      </c>
      <c r="AB2175" s="220" t="str">
        <f t="shared" si="311"/>
        <v/>
      </c>
    </row>
    <row r="2176" spans="1:28" s="219" customFormat="1" ht="20.25">
      <c r="A2176" s="174"/>
      <c r="B2176" s="175" t="str">
        <f>IF(LEN(A2176)=0,"",INDEX('Smelter Look-up'!$A:$A,MATCH($A2176,'Smelter Look-up'!$E:$E,0)))</f>
        <v/>
      </c>
      <c r="C2176" s="179" t="str">
        <f>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309"/>
        <v/>
      </c>
      <c r="T2176" s="174" t="str">
        <f ca="1">IF(B2176="","",IF(ISERROR(MATCH($J2176,SorP!$B$1:$B$6279,0)),"",INDIRECT("'SorP'!$A$"&amp;MATCH($S2176&amp;$J2176,SorP!C:C,0))))</f>
        <v/>
      </c>
      <c r="U2176" s="194"/>
      <c r="V2176" s="218" t="e">
        <f>IF(C2176="",NA(),IF(OR(C2176="Smelter not listed",C2176="Smelter not yet identified"),MATCH($B2176&amp;$D2176,'Smelter Look-up'!$J:$J,0),MATCH($B2176&amp;$C2176,'Smelter Look-up'!$J:$J,0)))</f>
        <v>#N/A</v>
      </c>
      <c r="X2176" s="219">
        <f t="shared" ca="1" si="310"/>
        <v>0</v>
      </c>
      <c r="AB2176" s="220" t="str">
        <f t="shared" si="311"/>
        <v/>
      </c>
    </row>
    <row r="2177" spans="1:28" s="219" customFormat="1" ht="20.25">
      <c r="A2177" s="174"/>
      <c r="B2177" s="175" t="str">
        <f>IF(LEN(A2177)=0,"",INDEX('Smelter Look-up'!$A:$A,MATCH($A2177,'Smelter Look-up'!$E:$E,0)))</f>
        <v/>
      </c>
      <c r="C2177" s="179" t="str">
        <f>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309"/>
        <v/>
      </c>
      <c r="T2177" s="174" t="str">
        <f ca="1">IF(B2177="","",IF(ISERROR(MATCH($J2177,SorP!$B$1:$B$6279,0)),"",INDIRECT("'SorP'!$A$"&amp;MATCH($S2177&amp;$J2177,SorP!C:C,0))))</f>
        <v/>
      </c>
      <c r="U2177" s="194"/>
      <c r="V2177" s="218" t="e">
        <f>IF(C2177="",NA(),IF(OR(C2177="Smelter not listed",C2177="Smelter not yet identified"),MATCH($B2177&amp;$D2177,'Smelter Look-up'!$J:$J,0),MATCH($B2177&amp;$C2177,'Smelter Look-up'!$J:$J,0)))</f>
        <v>#N/A</v>
      </c>
      <c r="X2177" s="219">
        <f t="shared" ca="1" si="310"/>
        <v>0</v>
      </c>
      <c r="AB2177" s="220" t="str">
        <f t="shared" si="311"/>
        <v/>
      </c>
    </row>
    <row r="2178" spans="1:28" s="219" customFormat="1" ht="20.25">
      <c r="A2178" s="174"/>
      <c r="B2178" s="175" t="str">
        <f>IF(LEN(A2178)=0,"",INDEX('Smelter Look-up'!$A:$A,MATCH($A2178,'Smelter Look-up'!$E:$E,0)))</f>
        <v/>
      </c>
      <c r="C2178" s="179" t="str">
        <f>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309"/>
        <v/>
      </c>
      <c r="T2178" s="174" t="str">
        <f ca="1">IF(B2178="","",IF(ISERROR(MATCH($J2178,SorP!$B$1:$B$6279,0)),"",INDIRECT("'SorP'!$A$"&amp;MATCH($S2178&amp;$J2178,SorP!C:C,0))))</f>
        <v/>
      </c>
      <c r="U2178" s="194"/>
      <c r="V2178" s="218" t="e">
        <f>IF(C2178="",NA(),IF(OR(C2178="Smelter not listed",C2178="Smelter not yet identified"),MATCH($B2178&amp;$D2178,'Smelter Look-up'!$J:$J,0),MATCH($B2178&amp;$C2178,'Smelter Look-up'!$J:$J,0)))</f>
        <v>#N/A</v>
      </c>
      <c r="X2178" s="219">
        <f t="shared" ca="1" si="310"/>
        <v>0</v>
      </c>
      <c r="AB2178" s="220" t="str">
        <f t="shared" si="311"/>
        <v/>
      </c>
    </row>
    <row r="2179" spans="1:28" s="219" customFormat="1" ht="20.25">
      <c r="A2179" s="174"/>
      <c r="B2179" s="175" t="str">
        <f>IF(LEN(A2179)=0,"",INDEX('Smelter Look-up'!$A:$A,MATCH($A2179,'Smelter Look-up'!$E:$E,0)))</f>
        <v/>
      </c>
      <c r="C2179" s="179" t="str">
        <f>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309"/>
        <v/>
      </c>
      <c r="T2179" s="174" t="str">
        <f ca="1">IF(B2179="","",IF(ISERROR(MATCH($J2179,SorP!$B$1:$B$6279,0)),"",INDIRECT("'SorP'!$A$"&amp;MATCH($S2179&amp;$J2179,SorP!C:C,0))))</f>
        <v/>
      </c>
      <c r="U2179" s="194"/>
      <c r="V2179" s="218" t="e">
        <f>IF(C2179="",NA(),IF(OR(C2179="Smelter not listed",C2179="Smelter not yet identified"),MATCH($B2179&amp;$D2179,'Smelter Look-up'!$J:$J,0),MATCH($B2179&amp;$C2179,'Smelter Look-up'!$J:$J,0)))</f>
        <v>#N/A</v>
      </c>
      <c r="X2179" s="219">
        <f t="shared" ca="1" si="310"/>
        <v>0</v>
      </c>
      <c r="AB2179" s="220" t="str">
        <f t="shared" si="311"/>
        <v/>
      </c>
    </row>
    <row r="2180" spans="1:28" s="219" customFormat="1" ht="20.25">
      <c r="A2180" s="174"/>
      <c r="B2180" s="175" t="str">
        <f>IF(LEN(A2180)=0,"",INDEX('Smelter Look-up'!$A:$A,MATCH($A2180,'Smelter Look-up'!$E:$E,0)))</f>
        <v/>
      </c>
      <c r="C2180" s="179" t="str">
        <f>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309"/>
        <v/>
      </c>
      <c r="T2180" s="174" t="str">
        <f ca="1">IF(B2180="","",IF(ISERROR(MATCH($J2180,SorP!$B$1:$B$6279,0)),"",INDIRECT("'SorP'!$A$"&amp;MATCH($S2180&amp;$J2180,SorP!C:C,0))))</f>
        <v/>
      </c>
      <c r="U2180" s="194"/>
      <c r="V2180" s="218" t="e">
        <f>IF(C2180="",NA(),IF(OR(C2180="Smelter not listed",C2180="Smelter not yet identified"),MATCH($B2180&amp;$D2180,'Smelter Look-up'!$J:$J,0),MATCH($B2180&amp;$C2180,'Smelter Look-up'!$J:$J,0)))</f>
        <v>#N/A</v>
      </c>
      <c r="X2180" s="219">
        <f t="shared" ca="1" si="310"/>
        <v>0</v>
      </c>
      <c r="AB2180" s="220" t="str">
        <f t="shared" si="311"/>
        <v/>
      </c>
    </row>
    <row r="2181" spans="1:28" s="219" customFormat="1" ht="20.25">
      <c r="A2181" s="174"/>
      <c r="B2181" s="175" t="str">
        <f>IF(LEN(A2181)=0,"",INDEX('Smelter Look-up'!$A:$A,MATCH($A2181,'Smelter Look-up'!$E:$E,0)))</f>
        <v/>
      </c>
      <c r="C2181" s="179" t="str">
        <f>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309"/>
        <v/>
      </c>
      <c r="T2181" s="174" t="str">
        <f ca="1">IF(B2181="","",IF(ISERROR(MATCH($J2181,SorP!$B$1:$B$6279,0)),"",INDIRECT("'SorP'!$A$"&amp;MATCH($S2181&amp;$J2181,SorP!C:C,0))))</f>
        <v/>
      </c>
      <c r="U2181" s="194"/>
      <c r="V2181" s="218" t="e">
        <f>IF(C2181="",NA(),IF(OR(C2181="Smelter not listed",C2181="Smelter not yet identified"),MATCH($B2181&amp;$D2181,'Smelter Look-up'!$J:$J,0),MATCH($B2181&amp;$C2181,'Smelter Look-up'!$J:$J,0)))</f>
        <v>#N/A</v>
      </c>
      <c r="X2181" s="219">
        <f t="shared" ca="1" si="310"/>
        <v>0</v>
      </c>
      <c r="AB2181" s="220" t="str">
        <f t="shared" si="311"/>
        <v/>
      </c>
    </row>
    <row r="2182" spans="1:28" s="219" customFormat="1" ht="20.25">
      <c r="A2182" s="174"/>
      <c r="B2182" s="175" t="str">
        <f>IF(LEN(A2182)=0,"",INDEX('Smelter Look-up'!$A:$A,MATCH($A2182,'Smelter Look-up'!$E:$E,0)))</f>
        <v/>
      </c>
      <c r="C2182" s="179" t="str">
        <f>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309"/>
        <v/>
      </c>
      <c r="T2182" s="174" t="str">
        <f ca="1">IF(B2182="","",IF(ISERROR(MATCH($J2182,SorP!$B$1:$B$6279,0)),"",INDIRECT("'SorP'!$A$"&amp;MATCH($S2182&amp;$J2182,SorP!C:C,0))))</f>
        <v/>
      </c>
      <c r="U2182" s="194"/>
      <c r="V2182" s="218" t="e">
        <f>IF(C2182="",NA(),IF(OR(C2182="Smelter not listed",C2182="Smelter not yet identified"),MATCH($B2182&amp;$D2182,'Smelter Look-up'!$J:$J,0),MATCH($B2182&amp;$C2182,'Smelter Look-up'!$J:$J,0)))</f>
        <v>#N/A</v>
      </c>
      <c r="X2182" s="219">
        <f t="shared" ca="1" si="310"/>
        <v>0</v>
      </c>
      <c r="AB2182" s="220" t="str">
        <f t="shared" si="311"/>
        <v/>
      </c>
    </row>
    <row r="2183" spans="1:28" s="219" customFormat="1" ht="20.25">
      <c r="A2183" s="174"/>
      <c r="B2183" s="175" t="str">
        <f>IF(LEN(A2183)=0,"",INDEX('Smelter Look-up'!$A:$A,MATCH($A2183,'Smelter Look-up'!$E:$E,0)))</f>
        <v/>
      </c>
      <c r="C2183" s="179" t="str">
        <f>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309"/>
        <v/>
      </c>
      <c r="T2183" s="174" t="str">
        <f ca="1">IF(B2183="","",IF(ISERROR(MATCH($J2183,SorP!$B$1:$B$6279,0)),"",INDIRECT("'SorP'!$A$"&amp;MATCH($S2183&amp;$J2183,SorP!C:C,0))))</f>
        <v/>
      </c>
      <c r="U2183" s="194"/>
      <c r="V2183" s="218" t="e">
        <f>IF(C2183="",NA(),IF(OR(C2183="Smelter not listed",C2183="Smelter not yet identified"),MATCH($B2183&amp;$D2183,'Smelter Look-up'!$J:$J,0),MATCH($B2183&amp;$C2183,'Smelter Look-up'!$J:$J,0)))</f>
        <v>#N/A</v>
      </c>
      <c r="X2183" s="219">
        <f t="shared" ca="1" si="310"/>
        <v>0</v>
      </c>
      <c r="AB2183" s="220" t="str">
        <f t="shared" si="311"/>
        <v/>
      </c>
    </row>
    <row r="2184" spans="1:28" s="219" customFormat="1" ht="20.25">
      <c r="A2184" s="174"/>
      <c r="B2184" s="175" t="str">
        <f>IF(LEN(A2184)=0,"",INDEX('Smelter Look-up'!$A:$A,MATCH($A2184,'Smelter Look-up'!$E:$E,0)))</f>
        <v/>
      </c>
      <c r="C2184" s="179" t="str">
        <f>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309"/>
        <v/>
      </c>
      <c r="T2184" s="174" t="str">
        <f ca="1">IF(B2184="","",IF(ISERROR(MATCH($J2184,SorP!$B$1:$B$6279,0)),"",INDIRECT("'SorP'!$A$"&amp;MATCH($S2184&amp;$J2184,SorP!C:C,0))))</f>
        <v/>
      </c>
      <c r="U2184" s="194"/>
      <c r="V2184" s="218" t="e">
        <f>IF(C2184="",NA(),IF(OR(C2184="Smelter not listed",C2184="Smelter not yet identified"),MATCH($B2184&amp;$D2184,'Smelter Look-up'!$J:$J,0),MATCH($B2184&amp;$C2184,'Smelter Look-up'!$J:$J,0)))</f>
        <v>#N/A</v>
      </c>
      <c r="X2184" s="219">
        <f t="shared" ca="1" si="310"/>
        <v>0</v>
      </c>
      <c r="AB2184" s="220" t="str">
        <f t="shared" si="311"/>
        <v/>
      </c>
    </row>
    <row r="2185" spans="1:28" s="219" customFormat="1" ht="20.25">
      <c r="A2185" s="174"/>
      <c r="B2185" s="175" t="str">
        <f>IF(LEN(A2185)=0,"",INDEX('Smelter Look-up'!$A:$A,MATCH($A2185,'Smelter Look-up'!$E:$E,0)))</f>
        <v/>
      </c>
      <c r="C2185" s="179" t="str">
        <f>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309"/>
        <v/>
      </c>
      <c r="T2185" s="174" t="str">
        <f ca="1">IF(B2185="","",IF(ISERROR(MATCH($J2185,SorP!$B$1:$B$6279,0)),"",INDIRECT("'SorP'!$A$"&amp;MATCH($S2185&amp;$J2185,SorP!C:C,0))))</f>
        <v/>
      </c>
      <c r="U2185" s="194"/>
      <c r="V2185" s="218" t="e">
        <f>IF(C2185="",NA(),IF(OR(C2185="Smelter not listed",C2185="Smelter not yet identified"),MATCH($B2185&amp;$D2185,'Smelter Look-up'!$J:$J,0),MATCH($B2185&amp;$C2185,'Smelter Look-up'!$J:$J,0)))</f>
        <v>#N/A</v>
      </c>
      <c r="X2185" s="219">
        <f t="shared" ca="1" si="310"/>
        <v>0</v>
      </c>
      <c r="AB2185" s="220" t="str">
        <f t="shared" si="311"/>
        <v/>
      </c>
    </row>
    <row r="2186" spans="1:28" s="219" customFormat="1" ht="20.25">
      <c r="A2186" s="174"/>
      <c r="B2186" s="175" t="str">
        <f>IF(LEN(A2186)=0,"",INDEX('Smelter Look-up'!$A:$A,MATCH($A2186,'Smelter Look-up'!$E:$E,0)))</f>
        <v/>
      </c>
      <c r="C2186" s="179" t="str">
        <f>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309"/>
        <v/>
      </c>
      <c r="T2186" s="174" t="str">
        <f ca="1">IF(B2186="","",IF(ISERROR(MATCH($J2186,SorP!$B$1:$B$6279,0)),"",INDIRECT("'SorP'!$A$"&amp;MATCH($S2186&amp;$J2186,SorP!C:C,0))))</f>
        <v/>
      </c>
      <c r="U2186" s="194"/>
      <c r="V2186" s="218" t="e">
        <f>IF(C2186="",NA(),IF(OR(C2186="Smelter not listed",C2186="Smelter not yet identified"),MATCH($B2186&amp;$D2186,'Smelter Look-up'!$J:$J,0),MATCH($B2186&amp;$C2186,'Smelter Look-up'!$J:$J,0)))</f>
        <v>#N/A</v>
      </c>
      <c r="X2186" s="219">
        <f t="shared" ca="1" si="310"/>
        <v>0</v>
      </c>
      <c r="AB2186" s="220" t="str">
        <f t="shared" si="311"/>
        <v/>
      </c>
    </row>
    <row r="2187" spans="1:28" s="219" customFormat="1" ht="20.25">
      <c r="A2187" s="174"/>
      <c r="B2187" s="175" t="str">
        <f>IF(LEN(A2187)=0,"",INDEX('Smelter Look-up'!$A:$A,MATCH($A2187,'Smelter Look-up'!$E:$E,0)))</f>
        <v/>
      </c>
      <c r="C2187" s="179" t="str">
        <f>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309"/>
        <v/>
      </c>
      <c r="T2187" s="174" t="str">
        <f ca="1">IF(B2187="","",IF(ISERROR(MATCH($J2187,SorP!$B$1:$B$6279,0)),"",INDIRECT("'SorP'!$A$"&amp;MATCH($S2187&amp;$J2187,SorP!C:C,0))))</f>
        <v/>
      </c>
      <c r="U2187" s="194"/>
      <c r="V2187" s="218" t="e">
        <f>IF(C2187="",NA(),IF(OR(C2187="Smelter not listed",C2187="Smelter not yet identified"),MATCH($B2187&amp;$D2187,'Smelter Look-up'!$J:$J,0),MATCH($B2187&amp;$C2187,'Smelter Look-up'!$J:$J,0)))</f>
        <v>#N/A</v>
      </c>
      <c r="X2187" s="219">
        <f t="shared" ca="1" si="310"/>
        <v>0</v>
      </c>
      <c r="AB2187" s="220" t="str">
        <f t="shared" si="311"/>
        <v/>
      </c>
    </row>
    <row r="2188" spans="1:28" s="219" customFormat="1" ht="20.25">
      <c r="A2188" s="174"/>
      <c r="B2188" s="175" t="str">
        <f>IF(LEN(A2188)=0,"",INDEX('Smelter Look-up'!$A:$A,MATCH($A2188,'Smelter Look-up'!$E:$E,0)))</f>
        <v/>
      </c>
      <c r="C2188" s="179" t="str">
        <f>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309"/>
        <v/>
      </c>
      <c r="T2188" s="174" t="str">
        <f ca="1">IF(B2188="","",IF(ISERROR(MATCH($J2188,SorP!$B$1:$B$6279,0)),"",INDIRECT("'SorP'!$A$"&amp;MATCH($S2188&amp;$J2188,SorP!C:C,0))))</f>
        <v/>
      </c>
      <c r="U2188" s="194"/>
      <c r="V2188" s="218" t="e">
        <f>IF(C2188="",NA(),IF(OR(C2188="Smelter not listed",C2188="Smelter not yet identified"),MATCH($B2188&amp;$D2188,'Smelter Look-up'!$J:$J,0),MATCH($B2188&amp;$C2188,'Smelter Look-up'!$J:$J,0)))</f>
        <v>#N/A</v>
      </c>
      <c r="X2188" s="219">
        <f t="shared" ca="1" si="310"/>
        <v>0</v>
      </c>
      <c r="AB2188" s="220" t="str">
        <f t="shared" si="311"/>
        <v/>
      </c>
    </row>
    <row r="2189" spans="1:28" s="219" customFormat="1" ht="20.25">
      <c r="A2189" s="174"/>
      <c r="B2189" s="175" t="str">
        <f>IF(LEN(A2189)=0,"",INDEX('Smelter Look-up'!$A:$A,MATCH($A2189,'Smelter Look-up'!$E:$E,0)))</f>
        <v/>
      </c>
      <c r="C2189" s="179" t="str">
        <f>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309"/>
        <v/>
      </c>
      <c r="T2189" s="174" t="str">
        <f ca="1">IF(B2189="","",IF(ISERROR(MATCH($J2189,SorP!$B$1:$B$6279,0)),"",INDIRECT("'SorP'!$A$"&amp;MATCH($S2189&amp;$J2189,SorP!C:C,0))))</f>
        <v/>
      </c>
      <c r="U2189" s="194"/>
      <c r="V2189" s="218" t="e">
        <f>IF(C2189="",NA(),IF(OR(C2189="Smelter not listed",C2189="Smelter not yet identified"),MATCH($B2189&amp;$D2189,'Smelter Look-up'!$J:$J,0),MATCH($B2189&amp;$C2189,'Smelter Look-up'!$J:$J,0)))</f>
        <v>#N/A</v>
      </c>
      <c r="X2189" s="219">
        <f t="shared" ca="1" si="310"/>
        <v>0</v>
      </c>
      <c r="AB2189" s="220" t="str">
        <f t="shared" si="311"/>
        <v/>
      </c>
    </row>
    <row r="2190" spans="1:28" s="219" customFormat="1" ht="20.25">
      <c r="A2190" s="174"/>
      <c r="B2190" s="175" t="str">
        <f>IF(LEN(A2190)=0,"",INDEX('Smelter Look-up'!$A:$A,MATCH($A2190,'Smelter Look-up'!$E:$E,0)))</f>
        <v/>
      </c>
      <c r="C2190" s="179" t="str">
        <f>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309"/>
        <v/>
      </c>
      <c r="T2190" s="174" t="str">
        <f ca="1">IF(B2190="","",IF(ISERROR(MATCH($J2190,SorP!$B$1:$B$6279,0)),"",INDIRECT("'SorP'!$A$"&amp;MATCH($S2190&amp;$J2190,SorP!C:C,0))))</f>
        <v/>
      </c>
      <c r="U2190" s="194"/>
      <c r="V2190" s="218" t="e">
        <f>IF(C2190="",NA(),IF(OR(C2190="Smelter not listed",C2190="Smelter not yet identified"),MATCH($B2190&amp;$D2190,'Smelter Look-up'!$J:$J,0),MATCH($B2190&amp;$C2190,'Smelter Look-up'!$J:$J,0)))</f>
        <v>#N/A</v>
      </c>
      <c r="X2190" s="219">
        <f t="shared" ca="1" si="310"/>
        <v>0</v>
      </c>
      <c r="AB2190" s="220" t="str">
        <f t="shared" si="311"/>
        <v/>
      </c>
    </row>
    <row r="2191" spans="1:28" s="219" customFormat="1" ht="20.25">
      <c r="A2191" s="174"/>
      <c r="B2191" s="175" t="str">
        <f>IF(LEN(A2191)=0,"",INDEX('Smelter Look-up'!$A:$A,MATCH($A2191,'Smelter Look-up'!$E:$E,0)))</f>
        <v/>
      </c>
      <c r="C2191" s="179" t="str">
        <f>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309"/>
        <v/>
      </c>
      <c r="T2191" s="174" t="str">
        <f ca="1">IF(B2191="","",IF(ISERROR(MATCH($J2191,SorP!$B$1:$B$6279,0)),"",INDIRECT("'SorP'!$A$"&amp;MATCH($S2191&amp;$J2191,SorP!C:C,0))))</f>
        <v/>
      </c>
      <c r="U2191" s="194"/>
      <c r="V2191" s="218" t="e">
        <f>IF(C2191="",NA(),IF(OR(C2191="Smelter not listed",C2191="Smelter not yet identified"),MATCH($B2191&amp;$D2191,'Smelter Look-up'!$J:$J,0),MATCH($B2191&amp;$C2191,'Smelter Look-up'!$J:$J,0)))</f>
        <v>#N/A</v>
      </c>
      <c r="X2191" s="219">
        <f t="shared" ca="1" si="310"/>
        <v>0</v>
      </c>
      <c r="AB2191" s="220" t="str">
        <f t="shared" si="311"/>
        <v/>
      </c>
    </row>
    <row r="2192" spans="1:28" s="219" customFormat="1" ht="20.25">
      <c r="A2192" s="174"/>
      <c r="B2192" s="175" t="str">
        <f>IF(LEN(A2192)=0,"",INDEX('Smelter Look-up'!$A:$A,MATCH($A2192,'Smelter Look-up'!$E:$E,0)))</f>
        <v/>
      </c>
      <c r="C2192" s="179" t="str">
        <f>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309"/>
        <v/>
      </c>
      <c r="T2192" s="174" t="str">
        <f ca="1">IF(B2192="","",IF(ISERROR(MATCH($J2192,SorP!$B$1:$B$6279,0)),"",INDIRECT("'SorP'!$A$"&amp;MATCH($S2192&amp;$J2192,SorP!C:C,0))))</f>
        <v/>
      </c>
      <c r="U2192" s="194"/>
      <c r="V2192" s="218" t="e">
        <f>IF(C2192="",NA(),IF(OR(C2192="Smelter not listed",C2192="Smelter not yet identified"),MATCH($B2192&amp;$D2192,'Smelter Look-up'!$J:$J,0),MATCH($B2192&amp;$C2192,'Smelter Look-up'!$J:$J,0)))</f>
        <v>#N/A</v>
      </c>
      <c r="X2192" s="219">
        <f t="shared" ca="1" si="310"/>
        <v>0</v>
      </c>
      <c r="AB2192" s="220" t="str">
        <f t="shared" si="311"/>
        <v/>
      </c>
    </row>
    <row r="2193" spans="1:28" s="219" customFormat="1" ht="20.25">
      <c r="A2193" s="174"/>
      <c r="B2193" s="175" t="str">
        <f>IF(LEN(A2193)=0,"",INDEX('Smelter Look-up'!$A:$A,MATCH($A2193,'Smelter Look-up'!$E:$E,0)))</f>
        <v/>
      </c>
      <c r="C2193" s="179" t="str">
        <f>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309"/>
        <v/>
      </c>
      <c r="T2193" s="174" t="str">
        <f ca="1">IF(B2193="","",IF(ISERROR(MATCH($J2193,SorP!$B$1:$B$6279,0)),"",INDIRECT("'SorP'!$A$"&amp;MATCH($S2193&amp;$J2193,SorP!C:C,0))))</f>
        <v/>
      </c>
      <c r="U2193" s="194"/>
      <c r="V2193" s="218" t="e">
        <f>IF(C2193="",NA(),IF(OR(C2193="Smelter not listed",C2193="Smelter not yet identified"),MATCH($B2193&amp;$D2193,'Smelter Look-up'!$J:$J,0),MATCH($B2193&amp;$C2193,'Smelter Look-up'!$J:$J,0)))</f>
        <v>#N/A</v>
      </c>
      <c r="X2193" s="219">
        <f t="shared" ca="1" si="310"/>
        <v>0</v>
      </c>
      <c r="AB2193" s="220" t="str">
        <f t="shared" si="311"/>
        <v/>
      </c>
    </row>
    <row r="2194" spans="1:28" s="219" customFormat="1" ht="20.25">
      <c r="A2194" s="174"/>
      <c r="B2194" s="175" t="str">
        <f>IF(LEN(A2194)=0,"",INDEX('Smelter Look-up'!$A:$A,MATCH($A2194,'Smelter Look-up'!$E:$E,0)))</f>
        <v/>
      </c>
      <c r="C2194" s="179" t="str">
        <f>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309"/>
        <v/>
      </c>
      <c r="T2194" s="174" t="str">
        <f ca="1">IF(B2194="","",IF(ISERROR(MATCH($J2194,SorP!$B$1:$B$6279,0)),"",INDIRECT("'SorP'!$A$"&amp;MATCH($S2194&amp;$J2194,SorP!C:C,0))))</f>
        <v/>
      </c>
      <c r="U2194" s="194"/>
      <c r="V2194" s="218" t="e">
        <f>IF(C2194="",NA(),IF(OR(C2194="Smelter not listed",C2194="Smelter not yet identified"),MATCH($B2194&amp;$D2194,'Smelter Look-up'!$J:$J,0),MATCH($B2194&amp;$C2194,'Smelter Look-up'!$J:$J,0)))</f>
        <v>#N/A</v>
      </c>
      <c r="X2194" s="219">
        <f t="shared" ca="1" si="310"/>
        <v>0</v>
      </c>
      <c r="AB2194" s="220" t="str">
        <f t="shared" si="311"/>
        <v/>
      </c>
    </row>
    <row r="2195" spans="1:28" s="219" customFormat="1" ht="20.25">
      <c r="A2195" s="174"/>
      <c r="B2195" s="175" t="str">
        <f>IF(LEN(A2195)=0,"",INDEX('Smelter Look-up'!$A:$A,MATCH($A2195,'Smelter Look-up'!$E:$E,0)))</f>
        <v/>
      </c>
      <c r="C2195" s="179" t="str">
        <f>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309"/>
        <v/>
      </c>
      <c r="T2195" s="174" t="str">
        <f ca="1">IF(B2195="","",IF(ISERROR(MATCH($J2195,SorP!$B$1:$B$6279,0)),"",INDIRECT("'SorP'!$A$"&amp;MATCH($S2195&amp;$J2195,SorP!C:C,0))))</f>
        <v/>
      </c>
      <c r="U2195" s="194"/>
      <c r="V2195" s="218" t="e">
        <f>IF(C2195="",NA(),IF(OR(C2195="Smelter not listed",C2195="Smelter not yet identified"),MATCH($B2195&amp;$D2195,'Smelter Look-up'!$J:$J,0),MATCH($B2195&amp;$C2195,'Smelter Look-up'!$J:$J,0)))</f>
        <v>#N/A</v>
      </c>
      <c r="X2195" s="219">
        <f t="shared" ca="1" si="310"/>
        <v>0</v>
      </c>
      <c r="AB2195" s="220" t="str">
        <f t="shared" si="311"/>
        <v/>
      </c>
    </row>
    <row r="2196" spans="1:28" s="219" customFormat="1" ht="20.25">
      <c r="A2196" s="174"/>
      <c r="B2196" s="175" t="str">
        <f>IF(LEN(A2196)=0,"",INDEX('Smelter Look-up'!$A:$A,MATCH($A2196,'Smelter Look-up'!$E:$E,0)))</f>
        <v/>
      </c>
      <c r="C2196" s="179" t="str">
        <f>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309"/>
        <v/>
      </c>
      <c r="T2196" s="174" t="str">
        <f ca="1">IF(B2196="","",IF(ISERROR(MATCH($J2196,SorP!$B$1:$B$6279,0)),"",INDIRECT("'SorP'!$A$"&amp;MATCH($S2196&amp;$J2196,SorP!C:C,0))))</f>
        <v/>
      </c>
      <c r="U2196" s="194"/>
      <c r="V2196" s="218" t="e">
        <f>IF(C2196="",NA(),IF(OR(C2196="Smelter not listed",C2196="Smelter not yet identified"),MATCH($B2196&amp;$D2196,'Smelter Look-up'!$J:$J,0),MATCH($B2196&amp;$C2196,'Smelter Look-up'!$J:$J,0)))</f>
        <v>#N/A</v>
      </c>
      <c r="X2196" s="219">
        <f t="shared" ca="1" si="310"/>
        <v>0</v>
      </c>
      <c r="AB2196" s="220" t="str">
        <f t="shared" si="311"/>
        <v/>
      </c>
    </row>
    <row r="2197" spans="1:28" s="219" customFormat="1" ht="20.25">
      <c r="A2197" s="174"/>
      <c r="B2197" s="175" t="str">
        <f>IF(LEN(A2197)=0,"",INDEX('Smelter Look-up'!$A:$A,MATCH($A2197,'Smelter Look-up'!$E:$E,0)))</f>
        <v/>
      </c>
      <c r="C2197" s="179" t="str">
        <f>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309"/>
        <v/>
      </c>
      <c r="T2197" s="174" t="str">
        <f ca="1">IF(B2197="","",IF(ISERROR(MATCH($J2197,SorP!$B$1:$B$6279,0)),"",INDIRECT("'SorP'!$A$"&amp;MATCH($S2197&amp;$J2197,SorP!C:C,0))))</f>
        <v/>
      </c>
      <c r="U2197" s="194"/>
      <c r="V2197" s="218" t="e">
        <f>IF(C2197="",NA(),IF(OR(C2197="Smelter not listed",C2197="Smelter not yet identified"),MATCH($B2197&amp;$D2197,'Smelter Look-up'!$J:$J,0),MATCH($B2197&amp;$C2197,'Smelter Look-up'!$J:$J,0)))</f>
        <v>#N/A</v>
      </c>
      <c r="X2197" s="219">
        <f t="shared" ca="1" si="310"/>
        <v>0</v>
      </c>
      <c r="AB2197" s="220" t="str">
        <f t="shared" si="311"/>
        <v/>
      </c>
    </row>
    <row r="2198" spans="1:28" s="219" customFormat="1" ht="20.25">
      <c r="A2198" s="174"/>
      <c r="B2198" s="175" t="str">
        <f>IF(LEN(A2198)=0,"",INDEX('Smelter Look-up'!$A:$A,MATCH($A2198,'Smelter Look-up'!$E:$E,0)))</f>
        <v/>
      </c>
      <c r="C2198" s="179" t="str">
        <f>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309"/>
        <v/>
      </c>
      <c r="T2198" s="174" t="str">
        <f ca="1">IF(B2198="","",IF(ISERROR(MATCH($J2198,SorP!$B$1:$B$6279,0)),"",INDIRECT("'SorP'!$A$"&amp;MATCH($S2198&amp;$J2198,SorP!C:C,0))))</f>
        <v/>
      </c>
      <c r="U2198" s="194"/>
      <c r="V2198" s="218" t="e">
        <f>IF(C2198="",NA(),IF(OR(C2198="Smelter not listed",C2198="Smelter not yet identified"),MATCH($B2198&amp;$D2198,'Smelter Look-up'!$J:$J,0),MATCH($B2198&amp;$C2198,'Smelter Look-up'!$J:$J,0)))</f>
        <v>#N/A</v>
      </c>
      <c r="X2198" s="219">
        <f t="shared" ca="1" si="310"/>
        <v>0</v>
      </c>
      <c r="AB2198" s="220" t="str">
        <f t="shared" si="311"/>
        <v/>
      </c>
    </row>
    <row r="2199" spans="1:28" s="219" customFormat="1" ht="20.25">
      <c r="A2199" s="174"/>
      <c r="B2199" s="175" t="str">
        <f>IF(LEN(A2199)=0,"",INDEX('Smelter Look-up'!$A:$A,MATCH($A2199,'Smelter Look-up'!$E:$E,0)))</f>
        <v/>
      </c>
      <c r="C2199" s="179" t="str">
        <f>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309"/>
        <v/>
      </c>
      <c r="T2199" s="174" t="str">
        <f ca="1">IF(B2199="","",IF(ISERROR(MATCH($J2199,SorP!$B$1:$B$6279,0)),"",INDIRECT("'SorP'!$A$"&amp;MATCH($S2199&amp;$J2199,SorP!C:C,0))))</f>
        <v/>
      </c>
      <c r="U2199" s="194"/>
      <c r="V2199" s="218" t="e">
        <f>IF(C2199="",NA(),IF(OR(C2199="Smelter not listed",C2199="Smelter not yet identified"),MATCH($B2199&amp;$D2199,'Smelter Look-up'!$J:$J,0),MATCH($B2199&amp;$C2199,'Smelter Look-up'!$J:$J,0)))</f>
        <v>#N/A</v>
      </c>
      <c r="X2199" s="219">
        <f t="shared" ca="1" si="310"/>
        <v>0</v>
      </c>
      <c r="AB2199" s="220" t="str">
        <f t="shared" si="311"/>
        <v/>
      </c>
    </row>
    <row r="2200" spans="1:28" s="219" customFormat="1" ht="20.25">
      <c r="A2200" s="174"/>
      <c r="B2200" s="175" t="str">
        <f>IF(LEN(A2200)=0,"",INDEX('Smelter Look-up'!$A:$A,MATCH($A2200,'Smelter Look-up'!$E:$E,0)))</f>
        <v/>
      </c>
      <c r="C2200" s="179" t="str">
        <f>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309"/>
        <v/>
      </c>
      <c r="T2200" s="174" t="str">
        <f ca="1">IF(B2200="","",IF(ISERROR(MATCH($J2200,SorP!$B$1:$B$6279,0)),"",INDIRECT("'SorP'!$A$"&amp;MATCH($S2200&amp;$J2200,SorP!C:C,0))))</f>
        <v/>
      </c>
      <c r="U2200" s="194"/>
      <c r="V2200" s="218" t="e">
        <f>IF(C2200="",NA(),IF(OR(C2200="Smelter not listed",C2200="Smelter not yet identified"),MATCH($B2200&amp;$D2200,'Smelter Look-up'!$J:$J,0),MATCH($B2200&amp;$C2200,'Smelter Look-up'!$J:$J,0)))</f>
        <v>#N/A</v>
      </c>
      <c r="X2200" s="219">
        <f t="shared" ca="1" si="310"/>
        <v>0</v>
      </c>
      <c r="AB2200" s="220" t="str">
        <f t="shared" si="311"/>
        <v/>
      </c>
    </row>
    <row r="2201" spans="1:28" s="219" customFormat="1" ht="20.25">
      <c r="A2201" s="174"/>
      <c r="B2201" s="175" t="str">
        <f>IF(LEN(A2201)=0,"",INDEX('Smelter Look-up'!$A:$A,MATCH($A2201,'Smelter Look-up'!$E:$E,0)))</f>
        <v/>
      </c>
      <c r="C2201" s="179" t="str">
        <f>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309"/>
        <v/>
      </c>
      <c r="T2201" s="174" t="str">
        <f ca="1">IF(B2201="","",IF(ISERROR(MATCH($J2201,SorP!$B$1:$B$6279,0)),"",INDIRECT("'SorP'!$A$"&amp;MATCH($S2201&amp;$J2201,SorP!C:C,0))))</f>
        <v/>
      </c>
      <c r="U2201" s="194"/>
      <c r="V2201" s="218" t="e">
        <f>IF(C2201="",NA(),IF(OR(C2201="Smelter not listed",C2201="Smelter not yet identified"),MATCH($B2201&amp;$D2201,'Smelter Look-up'!$J:$J,0),MATCH($B2201&amp;$C2201,'Smelter Look-up'!$J:$J,0)))</f>
        <v>#N/A</v>
      </c>
      <c r="X2201" s="219">
        <f t="shared" ca="1" si="310"/>
        <v>0</v>
      </c>
      <c r="AB2201" s="220" t="str">
        <f t="shared" si="311"/>
        <v/>
      </c>
    </row>
    <row r="2202" spans="1:28" s="219" customFormat="1" ht="20.25">
      <c r="A2202" s="174"/>
      <c r="B2202" s="175" t="str">
        <f>IF(LEN(A2202)=0,"",INDEX('Smelter Look-up'!$A:$A,MATCH($A2202,'Smelter Look-up'!$E:$E,0)))</f>
        <v/>
      </c>
      <c r="C2202" s="179" t="str">
        <f>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ca="1" si="309"/>
        <v/>
      </c>
      <c r="T2202" s="174" t="str">
        <f ca="1">IF(B2202="","",IF(ISERROR(MATCH($J2202,SorP!$B$1:$B$6279,0)),"",INDIRECT("'SorP'!$A$"&amp;MATCH($S2202&amp;$J2202,SorP!C:C,0))))</f>
        <v/>
      </c>
      <c r="U2202" s="194"/>
      <c r="V2202" s="218" t="e">
        <f>IF(C2202="",NA(),IF(OR(C2202="Smelter not listed",C2202="Smelter not yet identified"),MATCH($B2202&amp;$D2202,'Smelter Look-up'!$J:$J,0),MATCH($B2202&amp;$C2202,'Smelter Look-up'!$J:$J,0)))</f>
        <v>#N/A</v>
      </c>
      <c r="X2202" s="219">
        <f t="shared" ca="1" si="310"/>
        <v>0</v>
      </c>
      <c r="AB2202" s="220" t="str">
        <f t="shared" si="311"/>
        <v/>
      </c>
    </row>
    <row r="2203" spans="1:28" s="219" customFormat="1" ht="20.25">
      <c r="A2203" s="174"/>
      <c r="B2203" s="175" t="str">
        <f>IF(LEN(A2203)=0,"",INDEX('Smelter Look-up'!$A:$A,MATCH($A2203,'Smelter Look-up'!$E:$E,0)))</f>
        <v/>
      </c>
      <c r="C2203" s="179" t="str">
        <f>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ca="1" si="309"/>
        <v/>
      </c>
      <c r="T2203" s="174" t="str">
        <f ca="1">IF(B2203="","",IF(ISERROR(MATCH($J2203,SorP!$B$1:$B$6279,0)),"",INDIRECT("'SorP'!$A$"&amp;MATCH($S2203&amp;$J2203,SorP!C:C,0))))</f>
        <v/>
      </c>
      <c r="U2203" s="194"/>
      <c r="V2203" s="218" t="e">
        <f>IF(C2203="",NA(),IF(OR(C2203="Smelter not listed",C2203="Smelter not yet identified"),MATCH($B2203&amp;$D2203,'Smelter Look-up'!$J:$J,0),MATCH($B2203&amp;$C2203,'Smelter Look-up'!$J:$J,0)))</f>
        <v>#N/A</v>
      </c>
      <c r="X2203" s="219">
        <f t="shared" ca="1" si="310"/>
        <v>0</v>
      </c>
      <c r="AB2203" s="220" t="str">
        <f t="shared" si="311"/>
        <v/>
      </c>
    </row>
    <row r="2204" spans="1:28" s="219" customFormat="1" ht="20.25">
      <c r="A2204" s="174"/>
      <c r="B2204" s="175" t="str">
        <f>IF(LEN(A2204)=0,"",INDEX('Smelter Look-up'!$A:$A,MATCH($A2204,'Smelter Look-up'!$E:$E,0)))</f>
        <v/>
      </c>
      <c r="C2204" s="179" t="str">
        <f>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ref="S2204:S2234" ca="1" si="312">IF(B2204="","",IF(ISERROR(MATCH($E2204,CL,0)),"Unknown",INDIRECT("'C'!$A$"&amp;MATCH($E2204,CL,0)+1)))</f>
        <v/>
      </c>
      <c r="T2204" s="174" t="str">
        <f ca="1">IF(B2204="","",IF(ISERROR(MATCH($J2204,SorP!$B$1:$B$6279,0)),"",INDIRECT("'SorP'!$A$"&amp;MATCH($S2204&amp;$J2204,SorP!C:C,0))))</f>
        <v/>
      </c>
      <c r="U2204" s="194"/>
      <c r="V2204" s="218" t="e">
        <f>IF(C2204="",NA(),IF(OR(C2204="Smelter not listed",C2204="Smelter not yet identified"),MATCH($B2204&amp;$D2204,'Smelter Look-up'!$J:$J,0),MATCH($B2204&amp;$C2204,'Smelter Look-up'!$J:$J,0)))</f>
        <v>#N/A</v>
      </c>
      <c r="X2204" s="219">
        <f t="shared" ref="X2204:X2234" ca="1" si="313">IF(AND(C2204="Smelter not listed",OR(LEN(D2204)=0,LEN(E2204)=0)),1,0)</f>
        <v>0</v>
      </c>
      <c r="AB2204" s="220" t="str">
        <f t="shared" ref="AB2204:AB2234" si="314">B2204&amp;C2204</f>
        <v/>
      </c>
    </row>
    <row r="2205" spans="1:28" s="219" customFormat="1" ht="20.25">
      <c r="A2205" s="174"/>
      <c r="B2205" s="175" t="str">
        <f>IF(LEN(A2205)=0,"",INDEX('Smelter Look-up'!$A:$A,MATCH($A2205,'Smelter Look-up'!$E:$E,0)))</f>
        <v/>
      </c>
      <c r="C2205" s="179" t="str">
        <f>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312"/>
        <v/>
      </c>
      <c r="T2205" s="174" t="str">
        <f ca="1">IF(B2205="","",IF(ISERROR(MATCH($J2205,SorP!$B$1:$B$6279,0)),"",INDIRECT("'SorP'!$A$"&amp;MATCH($S2205&amp;$J2205,SorP!C:C,0))))</f>
        <v/>
      </c>
      <c r="U2205" s="194"/>
      <c r="V2205" s="218" t="e">
        <f>IF(C2205="",NA(),IF(OR(C2205="Smelter not listed",C2205="Smelter not yet identified"),MATCH($B2205&amp;$D2205,'Smelter Look-up'!$J:$J,0),MATCH($B2205&amp;$C2205,'Smelter Look-up'!$J:$J,0)))</f>
        <v>#N/A</v>
      </c>
      <c r="X2205" s="219">
        <f t="shared" ca="1" si="313"/>
        <v>0</v>
      </c>
      <c r="AB2205" s="220" t="str">
        <f t="shared" si="314"/>
        <v/>
      </c>
    </row>
    <row r="2206" spans="1:28" s="219" customFormat="1" ht="20.25">
      <c r="A2206" s="174"/>
      <c r="B2206" s="175" t="str">
        <f>IF(LEN(A2206)=0,"",INDEX('Smelter Look-up'!$A:$A,MATCH($A2206,'Smelter Look-up'!$E:$E,0)))</f>
        <v/>
      </c>
      <c r="C2206" s="179" t="str">
        <f>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312"/>
        <v/>
      </c>
      <c r="T2206" s="174" t="str">
        <f ca="1">IF(B2206="","",IF(ISERROR(MATCH($J2206,SorP!$B$1:$B$6279,0)),"",INDIRECT("'SorP'!$A$"&amp;MATCH($S2206&amp;$J2206,SorP!C:C,0))))</f>
        <v/>
      </c>
      <c r="U2206" s="194"/>
      <c r="V2206" s="218" t="e">
        <f>IF(C2206="",NA(),IF(OR(C2206="Smelter not listed",C2206="Smelter not yet identified"),MATCH($B2206&amp;$D2206,'Smelter Look-up'!$J:$J,0),MATCH($B2206&amp;$C2206,'Smelter Look-up'!$J:$J,0)))</f>
        <v>#N/A</v>
      </c>
      <c r="X2206" s="219">
        <f t="shared" ca="1" si="313"/>
        <v>0</v>
      </c>
      <c r="AB2206" s="220" t="str">
        <f t="shared" si="314"/>
        <v/>
      </c>
    </row>
    <row r="2207" spans="1:28" s="219" customFormat="1" ht="20.25">
      <c r="A2207" s="174"/>
      <c r="B2207" s="175" t="str">
        <f>IF(LEN(A2207)=0,"",INDEX('Smelter Look-up'!$A:$A,MATCH($A2207,'Smelter Look-up'!$E:$E,0)))</f>
        <v/>
      </c>
      <c r="C2207" s="179" t="str">
        <f>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312"/>
        <v/>
      </c>
      <c r="T2207" s="174" t="str">
        <f ca="1">IF(B2207="","",IF(ISERROR(MATCH($J2207,SorP!$B$1:$B$6279,0)),"",INDIRECT("'SorP'!$A$"&amp;MATCH($S2207&amp;$J2207,SorP!C:C,0))))</f>
        <v/>
      </c>
      <c r="U2207" s="194"/>
      <c r="V2207" s="218" t="e">
        <f>IF(C2207="",NA(),IF(OR(C2207="Smelter not listed",C2207="Smelter not yet identified"),MATCH($B2207&amp;$D2207,'Smelter Look-up'!$J:$J,0),MATCH($B2207&amp;$C2207,'Smelter Look-up'!$J:$J,0)))</f>
        <v>#N/A</v>
      </c>
      <c r="X2207" s="219">
        <f t="shared" ca="1" si="313"/>
        <v>0</v>
      </c>
      <c r="AB2207" s="220" t="str">
        <f t="shared" si="314"/>
        <v/>
      </c>
    </row>
    <row r="2208" spans="1:28" s="219" customFormat="1" ht="20.25">
      <c r="A2208" s="174"/>
      <c r="B2208" s="175" t="str">
        <f>IF(LEN(A2208)=0,"",INDEX('Smelter Look-up'!$A:$A,MATCH($A2208,'Smelter Look-up'!$E:$E,0)))</f>
        <v/>
      </c>
      <c r="C2208" s="179" t="str">
        <f>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312"/>
        <v/>
      </c>
      <c r="T2208" s="174" t="str">
        <f ca="1">IF(B2208="","",IF(ISERROR(MATCH($J2208,SorP!$B$1:$B$6279,0)),"",INDIRECT("'SorP'!$A$"&amp;MATCH($S2208&amp;$J2208,SorP!C:C,0))))</f>
        <v/>
      </c>
      <c r="U2208" s="194"/>
      <c r="V2208" s="218" t="e">
        <f>IF(C2208="",NA(),IF(OR(C2208="Smelter not listed",C2208="Smelter not yet identified"),MATCH($B2208&amp;$D2208,'Smelter Look-up'!$J:$J,0),MATCH($B2208&amp;$C2208,'Smelter Look-up'!$J:$J,0)))</f>
        <v>#N/A</v>
      </c>
      <c r="X2208" s="219">
        <f t="shared" ca="1" si="313"/>
        <v>0</v>
      </c>
      <c r="AB2208" s="220" t="str">
        <f t="shared" si="314"/>
        <v/>
      </c>
    </row>
    <row r="2209" spans="1:28" s="219" customFormat="1" ht="20.25">
      <c r="A2209" s="174"/>
      <c r="B2209" s="175" t="str">
        <f>IF(LEN(A2209)=0,"",INDEX('Smelter Look-up'!$A:$A,MATCH($A2209,'Smelter Look-up'!$E:$E,0)))</f>
        <v/>
      </c>
      <c r="C2209" s="179" t="str">
        <f>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312"/>
        <v/>
      </c>
      <c r="T2209" s="174" t="str">
        <f ca="1">IF(B2209="","",IF(ISERROR(MATCH($J2209,SorP!$B$1:$B$6279,0)),"",INDIRECT("'SorP'!$A$"&amp;MATCH($S2209&amp;$J2209,SorP!C:C,0))))</f>
        <v/>
      </c>
      <c r="U2209" s="194"/>
      <c r="V2209" s="218" t="e">
        <f>IF(C2209="",NA(),IF(OR(C2209="Smelter not listed",C2209="Smelter not yet identified"),MATCH($B2209&amp;$D2209,'Smelter Look-up'!$J:$J,0),MATCH($B2209&amp;$C2209,'Smelter Look-up'!$J:$J,0)))</f>
        <v>#N/A</v>
      </c>
      <c r="X2209" s="219">
        <f t="shared" ca="1" si="313"/>
        <v>0</v>
      </c>
      <c r="AB2209" s="220" t="str">
        <f t="shared" si="314"/>
        <v/>
      </c>
    </row>
    <row r="2210" spans="1:28" s="219" customFormat="1" ht="20.25">
      <c r="A2210" s="174"/>
      <c r="B2210" s="175" t="str">
        <f>IF(LEN(A2210)=0,"",INDEX('Smelter Look-up'!$A:$A,MATCH($A2210,'Smelter Look-up'!$E:$E,0)))</f>
        <v/>
      </c>
      <c r="C2210" s="179" t="str">
        <f>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312"/>
        <v/>
      </c>
      <c r="T2210" s="174" t="str">
        <f ca="1">IF(B2210="","",IF(ISERROR(MATCH($J2210,SorP!$B$1:$B$6279,0)),"",INDIRECT("'SorP'!$A$"&amp;MATCH($S2210&amp;$J2210,SorP!C:C,0))))</f>
        <v/>
      </c>
      <c r="U2210" s="194"/>
      <c r="V2210" s="218" t="e">
        <f>IF(C2210="",NA(),IF(OR(C2210="Smelter not listed",C2210="Smelter not yet identified"),MATCH($B2210&amp;$D2210,'Smelter Look-up'!$J:$J,0),MATCH($B2210&amp;$C2210,'Smelter Look-up'!$J:$J,0)))</f>
        <v>#N/A</v>
      </c>
      <c r="X2210" s="219">
        <f t="shared" ca="1" si="313"/>
        <v>0</v>
      </c>
      <c r="AB2210" s="220" t="str">
        <f t="shared" si="314"/>
        <v/>
      </c>
    </row>
    <row r="2211" spans="1:28" s="219" customFormat="1" ht="20.25">
      <c r="A2211" s="174"/>
      <c r="B2211" s="175" t="str">
        <f>IF(LEN(A2211)=0,"",INDEX('Smelter Look-up'!$A:$A,MATCH($A2211,'Smelter Look-up'!$E:$E,0)))</f>
        <v/>
      </c>
      <c r="C2211" s="179" t="str">
        <f>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312"/>
        <v/>
      </c>
      <c r="T2211" s="174" t="str">
        <f ca="1">IF(B2211="","",IF(ISERROR(MATCH($J2211,SorP!$B$1:$B$6279,0)),"",INDIRECT("'SorP'!$A$"&amp;MATCH($S2211&amp;$J2211,SorP!C:C,0))))</f>
        <v/>
      </c>
      <c r="U2211" s="194"/>
      <c r="V2211" s="218" t="e">
        <f>IF(C2211="",NA(),IF(OR(C2211="Smelter not listed",C2211="Smelter not yet identified"),MATCH($B2211&amp;$D2211,'Smelter Look-up'!$J:$J,0),MATCH($B2211&amp;$C2211,'Smelter Look-up'!$J:$J,0)))</f>
        <v>#N/A</v>
      </c>
      <c r="X2211" s="219">
        <f t="shared" ca="1" si="313"/>
        <v>0</v>
      </c>
      <c r="AB2211" s="220" t="str">
        <f t="shared" si="314"/>
        <v/>
      </c>
    </row>
    <row r="2212" spans="1:28" s="219" customFormat="1" ht="20.25">
      <c r="A2212" s="174"/>
      <c r="B2212" s="175" t="str">
        <f>IF(LEN(A2212)=0,"",INDEX('Smelter Look-up'!$A:$A,MATCH($A2212,'Smelter Look-up'!$E:$E,0)))</f>
        <v/>
      </c>
      <c r="C2212" s="179" t="str">
        <f>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312"/>
        <v/>
      </c>
      <c r="T2212" s="174" t="str">
        <f ca="1">IF(B2212="","",IF(ISERROR(MATCH($J2212,SorP!$B$1:$B$6279,0)),"",INDIRECT("'SorP'!$A$"&amp;MATCH($S2212&amp;$J2212,SorP!C:C,0))))</f>
        <v/>
      </c>
      <c r="U2212" s="194"/>
      <c r="V2212" s="218" t="e">
        <f>IF(C2212="",NA(),IF(OR(C2212="Smelter not listed",C2212="Smelter not yet identified"),MATCH($B2212&amp;$D2212,'Smelter Look-up'!$J:$J,0),MATCH($B2212&amp;$C2212,'Smelter Look-up'!$J:$J,0)))</f>
        <v>#N/A</v>
      </c>
      <c r="X2212" s="219">
        <f t="shared" ca="1" si="313"/>
        <v>0</v>
      </c>
      <c r="AB2212" s="220" t="str">
        <f t="shared" si="314"/>
        <v/>
      </c>
    </row>
    <row r="2213" spans="1:28" s="219" customFormat="1" ht="20.25">
      <c r="A2213" s="174"/>
      <c r="B2213" s="175" t="str">
        <f>IF(LEN(A2213)=0,"",INDEX('Smelter Look-up'!$A:$A,MATCH($A2213,'Smelter Look-up'!$E:$E,0)))</f>
        <v/>
      </c>
      <c r="C2213" s="179" t="str">
        <f>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312"/>
        <v/>
      </c>
      <c r="T2213" s="174" t="str">
        <f ca="1">IF(B2213="","",IF(ISERROR(MATCH($J2213,SorP!$B$1:$B$6279,0)),"",INDIRECT("'SorP'!$A$"&amp;MATCH($S2213&amp;$J2213,SorP!C:C,0))))</f>
        <v/>
      </c>
      <c r="U2213" s="194"/>
      <c r="V2213" s="218" t="e">
        <f>IF(C2213="",NA(),IF(OR(C2213="Smelter not listed",C2213="Smelter not yet identified"),MATCH($B2213&amp;$D2213,'Smelter Look-up'!$J:$J,0),MATCH($B2213&amp;$C2213,'Smelter Look-up'!$J:$J,0)))</f>
        <v>#N/A</v>
      </c>
      <c r="X2213" s="219">
        <f t="shared" ca="1" si="313"/>
        <v>0</v>
      </c>
      <c r="AB2213" s="220" t="str">
        <f t="shared" si="314"/>
        <v/>
      </c>
    </row>
    <row r="2214" spans="1:28" s="219" customFormat="1" ht="20.25">
      <c r="A2214" s="174"/>
      <c r="B2214" s="175" t="str">
        <f>IF(LEN(A2214)=0,"",INDEX('Smelter Look-up'!$A:$A,MATCH($A2214,'Smelter Look-up'!$E:$E,0)))</f>
        <v/>
      </c>
      <c r="C2214" s="179" t="str">
        <f>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312"/>
        <v/>
      </c>
      <c r="T2214" s="174" t="str">
        <f ca="1">IF(B2214="","",IF(ISERROR(MATCH($J2214,SorP!$B$1:$B$6279,0)),"",INDIRECT("'SorP'!$A$"&amp;MATCH($S2214&amp;$J2214,SorP!C:C,0))))</f>
        <v/>
      </c>
      <c r="U2214" s="194"/>
      <c r="V2214" s="218" t="e">
        <f>IF(C2214="",NA(),IF(OR(C2214="Smelter not listed",C2214="Smelter not yet identified"),MATCH($B2214&amp;$D2214,'Smelter Look-up'!$J:$J,0),MATCH($B2214&amp;$C2214,'Smelter Look-up'!$J:$J,0)))</f>
        <v>#N/A</v>
      </c>
      <c r="X2214" s="219">
        <f t="shared" ca="1" si="313"/>
        <v>0</v>
      </c>
      <c r="AB2214" s="220" t="str">
        <f t="shared" si="314"/>
        <v/>
      </c>
    </row>
    <row r="2215" spans="1:28" s="219" customFormat="1" ht="20.25">
      <c r="A2215" s="174"/>
      <c r="B2215" s="175" t="str">
        <f>IF(LEN(A2215)=0,"",INDEX('Smelter Look-up'!$A:$A,MATCH($A2215,'Smelter Look-up'!$E:$E,0)))</f>
        <v/>
      </c>
      <c r="C2215" s="179" t="str">
        <f>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312"/>
        <v/>
      </c>
      <c r="T2215" s="174" t="str">
        <f ca="1">IF(B2215="","",IF(ISERROR(MATCH($J2215,SorP!$B$1:$B$6279,0)),"",INDIRECT("'SorP'!$A$"&amp;MATCH($S2215&amp;$J2215,SorP!C:C,0))))</f>
        <v/>
      </c>
      <c r="U2215" s="194"/>
      <c r="V2215" s="218" t="e">
        <f>IF(C2215="",NA(),IF(OR(C2215="Smelter not listed",C2215="Smelter not yet identified"),MATCH($B2215&amp;$D2215,'Smelter Look-up'!$J:$J,0),MATCH($B2215&amp;$C2215,'Smelter Look-up'!$J:$J,0)))</f>
        <v>#N/A</v>
      </c>
      <c r="X2215" s="219">
        <f t="shared" ca="1" si="313"/>
        <v>0</v>
      </c>
      <c r="AB2215" s="220" t="str">
        <f t="shared" si="314"/>
        <v/>
      </c>
    </row>
    <row r="2216" spans="1:28" s="219" customFormat="1" ht="20.25">
      <c r="A2216" s="174"/>
      <c r="B2216" s="175" t="str">
        <f>IF(LEN(A2216)=0,"",INDEX('Smelter Look-up'!$A:$A,MATCH($A2216,'Smelter Look-up'!$E:$E,0)))</f>
        <v/>
      </c>
      <c r="C2216" s="179" t="str">
        <f>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312"/>
        <v/>
      </c>
      <c r="T2216" s="174" t="str">
        <f ca="1">IF(B2216="","",IF(ISERROR(MATCH($J2216,SorP!$B$1:$B$6279,0)),"",INDIRECT("'SorP'!$A$"&amp;MATCH($S2216&amp;$J2216,SorP!C:C,0))))</f>
        <v/>
      </c>
      <c r="U2216" s="194"/>
      <c r="V2216" s="218" t="e">
        <f>IF(C2216="",NA(),IF(OR(C2216="Smelter not listed",C2216="Smelter not yet identified"),MATCH($B2216&amp;$D2216,'Smelter Look-up'!$J:$J,0),MATCH($B2216&amp;$C2216,'Smelter Look-up'!$J:$J,0)))</f>
        <v>#N/A</v>
      </c>
      <c r="X2216" s="219">
        <f t="shared" ca="1" si="313"/>
        <v>0</v>
      </c>
      <c r="AB2216" s="220" t="str">
        <f t="shared" si="314"/>
        <v/>
      </c>
    </row>
    <row r="2217" spans="1:28" s="219" customFormat="1" ht="20.25">
      <c r="A2217" s="174"/>
      <c r="B2217" s="175" t="str">
        <f>IF(LEN(A2217)=0,"",INDEX('Smelter Look-up'!$A:$A,MATCH($A2217,'Smelter Look-up'!$E:$E,0)))</f>
        <v/>
      </c>
      <c r="C2217" s="179" t="str">
        <f>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312"/>
        <v/>
      </c>
      <c r="T2217" s="174" t="str">
        <f ca="1">IF(B2217="","",IF(ISERROR(MATCH($J2217,SorP!$B$1:$B$6279,0)),"",INDIRECT("'SorP'!$A$"&amp;MATCH($S2217&amp;$J2217,SorP!C:C,0))))</f>
        <v/>
      </c>
      <c r="U2217" s="194"/>
      <c r="V2217" s="218" t="e">
        <f>IF(C2217="",NA(),IF(OR(C2217="Smelter not listed",C2217="Smelter not yet identified"),MATCH($B2217&amp;$D2217,'Smelter Look-up'!$J:$J,0),MATCH($B2217&amp;$C2217,'Smelter Look-up'!$J:$J,0)))</f>
        <v>#N/A</v>
      </c>
      <c r="X2217" s="219">
        <f t="shared" ca="1" si="313"/>
        <v>0</v>
      </c>
      <c r="AB2217" s="220" t="str">
        <f t="shared" si="314"/>
        <v/>
      </c>
    </row>
    <row r="2218" spans="1:28" s="219" customFormat="1" ht="20.25">
      <c r="A2218" s="174"/>
      <c r="B2218" s="175" t="str">
        <f>IF(LEN(A2218)=0,"",INDEX('Smelter Look-up'!$A:$A,MATCH($A2218,'Smelter Look-up'!$E:$E,0)))</f>
        <v/>
      </c>
      <c r="C2218" s="179" t="str">
        <f>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312"/>
        <v/>
      </c>
      <c r="T2218" s="174" t="str">
        <f ca="1">IF(B2218="","",IF(ISERROR(MATCH($J2218,SorP!$B$1:$B$6279,0)),"",INDIRECT("'SorP'!$A$"&amp;MATCH($S2218&amp;$J2218,SorP!C:C,0))))</f>
        <v/>
      </c>
      <c r="U2218" s="194"/>
      <c r="V2218" s="218" t="e">
        <f>IF(C2218="",NA(),IF(OR(C2218="Smelter not listed",C2218="Smelter not yet identified"),MATCH($B2218&amp;$D2218,'Smelter Look-up'!$J:$J,0),MATCH($B2218&amp;$C2218,'Smelter Look-up'!$J:$J,0)))</f>
        <v>#N/A</v>
      </c>
      <c r="X2218" s="219">
        <f t="shared" ca="1" si="313"/>
        <v>0</v>
      </c>
      <c r="AB2218" s="220" t="str">
        <f t="shared" si="314"/>
        <v/>
      </c>
    </row>
    <row r="2219" spans="1:28" s="219" customFormat="1" ht="20.25">
      <c r="A2219" s="174"/>
      <c r="B2219" s="175" t="str">
        <f>IF(LEN(A2219)=0,"",INDEX('Smelter Look-up'!$A:$A,MATCH($A2219,'Smelter Look-up'!$E:$E,0)))</f>
        <v/>
      </c>
      <c r="C2219" s="179" t="str">
        <f>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312"/>
        <v/>
      </c>
      <c r="T2219" s="174" t="str">
        <f ca="1">IF(B2219="","",IF(ISERROR(MATCH($J2219,SorP!$B$1:$B$6279,0)),"",INDIRECT("'SorP'!$A$"&amp;MATCH($S2219&amp;$J2219,SorP!C:C,0))))</f>
        <v/>
      </c>
      <c r="U2219" s="194"/>
      <c r="V2219" s="218" t="e">
        <f>IF(C2219="",NA(),IF(OR(C2219="Smelter not listed",C2219="Smelter not yet identified"),MATCH($B2219&amp;$D2219,'Smelter Look-up'!$J:$J,0),MATCH($B2219&amp;$C2219,'Smelter Look-up'!$J:$J,0)))</f>
        <v>#N/A</v>
      </c>
      <c r="X2219" s="219">
        <f t="shared" ca="1" si="313"/>
        <v>0</v>
      </c>
      <c r="AB2219" s="220" t="str">
        <f t="shared" si="314"/>
        <v/>
      </c>
    </row>
    <row r="2220" spans="1:28" s="219" customFormat="1" ht="20.25">
      <c r="A2220" s="174"/>
      <c r="B2220" s="175" t="str">
        <f>IF(LEN(A2220)=0,"",INDEX('Smelter Look-up'!$A:$A,MATCH($A2220,'Smelter Look-up'!$E:$E,0)))</f>
        <v/>
      </c>
      <c r="C2220" s="179" t="str">
        <f>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312"/>
        <v/>
      </c>
      <c r="T2220" s="174" t="str">
        <f ca="1">IF(B2220="","",IF(ISERROR(MATCH($J2220,SorP!$B$1:$B$6279,0)),"",INDIRECT("'SorP'!$A$"&amp;MATCH($S2220&amp;$J2220,SorP!C:C,0))))</f>
        <v/>
      </c>
      <c r="U2220" s="194"/>
      <c r="V2220" s="218" t="e">
        <f>IF(C2220="",NA(),IF(OR(C2220="Smelter not listed",C2220="Smelter not yet identified"),MATCH($B2220&amp;$D2220,'Smelter Look-up'!$J:$J,0),MATCH($B2220&amp;$C2220,'Smelter Look-up'!$J:$J,0)))</f>
        <v>#N/A</v>
      </c>
      <c r="X2220" s="219">
        <f t="shared" ca="1" si="313"/>
        <v>0</v>
      </c>
      <c r="AB2220" s="220" t="str">
        <f t="shared" si="314"/>
        <v/>
      </c>
    </row>
    <row r="2221" spans="1:28" s="219" customFormat="1" ht="20.25">
      <c r="A2221" s="174"/>
      <c r="B2221" s="175" t="str">
        <f>IF(LEN(A2221)=0,"",INDEX('Smelter Look-up'!$A:$A,MATCH($A2221,'Smelter Look-up'!$E:$E,0)))</f>
        <v/>
      </c>
      <c r="C2221" s="179" t="str">
        <f>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312"/>
        <v/>
      </c>
      <c r="T2221" s="174" t="str">
        <f ca="1">IF(B2221="","",IF(ISERROR(MATCH($J2221,SorP!$B$1:$B$6279,0)),"",INDIRECT("'SorP'!$A$"&amp;MATCH($S2221&amp;$J2221,SorP!C:C,0))))</f>
        <v/>
      </c>
      <c r="U2221" s="194"/>
      <c r="V2221" s="218" t="e">
        <f>IF(C2221="",NA(),IF(OR(C2221="Smelter not listed",C2221="Smelter not yet identified"),MATCH($B2221&amp;$D2221,'Smelter Look-up'!$J:$J,0),MATCH($B2221&amp;$C2221,'Smelter Look-up'!$J:$J,0)))</f>
        <v>#N/A</v>
      </c>
      <c r="X2221" s="219">
        <f t="shared" ca="1" si="313"/>
        <v>0</v>
      </c>
      <c r="AB2221" s="220" t="str">
        <f t="shared" si="314"/>
        <v/>
      </c>
    </row>
    <row r="2222" spans="1:28" s="219" customFormat="1" ht="20.25">
      <c r="A2222" s="174"/>
      <c r="B2222" s="175" t="str">
        <f>IF(LEN(A2222)=0,"",INDEX('Smelter Look-up'!$A:$A,MATCH($A2222,'Smelter Look-up'!$E:$E,0)))</f>
        <v/>
      </c>
      <c r="C2222" s="179" t="str">
        <f>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312"/>
        <v/>
      </c>
      <c r="T2222" s="174" t="str">
        <f ca="1">IF(B2222="","",IF(ISERROR(MATCH($J2222,SorP!$B$1:$B$6279,0)),"",INDIRECT("'SorP'!$A$"&amp;MATCH($S2222&amp;$J2222,SorP!C:C,0))))</f>
        <v/>
      </c>
      <c r="U2222" s="194"/>
      <c r="V2222" s="218" t="e">
        <f>IF(C2222="",NA(),IF(OR(C2222="Smelter not listed",C2222="Smelter not yet identified"),MATCH($B2222&amp;$D2222,'Smelter Look-up'!$J:$J,0),MATCH($B2222&amp;$C2222,'Smelter Look-up'!$J:$J,0)))</f>
        <v>#N/A</v>
      </c>
      <c r="X2222" s="219">
        <f t="shared" ca="1" si="313"/>
        <v>0</v>
      </c>
      <c r="AB2222" s="220" t="str">
        <f t="shared" si="314"/>
        <v/>
      </c>
    </row>
    <row r="2223" spans="1:28" s="219" customFormat="1" ht="20.25">
      <c r="A2223" s="174"/>
      <c r="B2223" s="175" t="str">
        <f>IF(LEN(A2223)=0,"",INDEX('Smelter Look-up'!$A:$A,MATCH($A2223,'Smelter Look-up'!$E:$E,0)))</f>
        <v/>
      </c>
      <c r="C2223" s="179" t="str">
        <f>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312"/>
        <v/>
      </c>
      <c r="T2223" s="174" t="str">
        <f ca="1">IF(B2223="","",IF(ISERROR(MATCH($J2223,SorP!$B$1:$B$6279,0)),"",INDIRECT("'SorP'!$A$"&amp;MATCH($S2223&amp;$J2223,SorP!C:C,0))))</f>
        <v/>
      </c>
      <c r="U2223" s="194"/>
      <c r="V2223" s="218" t="e">
        <f>IF(C2223="",NA(),IF(OR(C2223="Smelter not listed",C2223="Smelter not yet identified"),MATCH($B2223&amp;$D2223,'Smelter Look-up'!$J:$J,0),MATCH($B2223&amp;$C2223,'Smelter Look-up'!$J:$J,0)))</f>
        <v>#N/A</v>
      </c>
      <c r="X2223" s="219">
        <f t="shared" ca="1" si="313"/>
        <v>0</v>
      </c>
      <c r="AB2223" s="220" t="str">
        <f t="shared" si="314"/>
        <v/>
      </c>
    </row>
    <row r="2224" spans="1:28" s="219" customFormat="1" ht="20.25">
      <c r="A2224" s="174"/>
      <c r="B2224" s="175" t="str">
        <f>IF(LEN(A2224)=0,"",INDEX('Smelter Look-up'!$A:$A,MATCH($A2224,'Smelter Look-up'!$E:$E,0)))</f>
        <v/>
      </c>
      <c r="C2224" s="179" t="str">
        <f>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312"/>
        <v/>
      </c>
      <c r="T2224" s="174" t="str">
        <f ca="1">IF(B2224="","",IF(ISERROR(MATCH($J2224,SorP!$B$1:$B$6279,0)),"",INDIRECT("'SorP'!$A$"&amp;MATCH($S2224&amp;$J2224,SorP!C:C,0))))</f>
        <v/>
      </c>
      <c r="U2224" s="194"/>
      <c r="V2224" s="218" t="e">
        <f>IF(C2224="",NA(),IF(OR(C2224="Smelter not listed",C2224="Smelter not yet identified"),MATCH($B2224&amp;$D2224,'Smelter Look-up'!$J:$J,0),MATCH($B2224&amp;$C2224,'Smelter Look-up'!$J:$J,0)))</f>
        <v>#N/A</v>
      </c>
      <c r="X2224" s="219">
        <f t="shared" ca="1" si="313"/>
        <v>0</v>
      </c>
      <c r="AB2224" s="220" t="str">
        <f t="shared" si="314"/>
        <v/>
      </c>
    </row>
    <row r="2225" spans="1:28" s="219" customFormat="1" ht="20.25">
      <c r="A2225" s="174"/>
      <c r="B2225" s="175" t="str">
        <f>IF(LEN(A2225)=0,"",INDEX('Smelter Look-up'!$A:$A,MATCH($A2225,'Smelter Look-up'!$E:$E,0)))</f>
        <v/>
      </c>
      <c r="C2225" s="179" t="str">
        <f>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312"/>
        <v/>
      </c>
      <c r="T2225" s="174" t="str">
        <f ca="1">IF(B2225="","",IF(ISERROR(MATCH($J2225,SorP!$B$1:$B$6279,0)),"",INDIRECT("'SorP'!$A$"&amp;MATCH($S2225&amp;$J2225,SorP!C:C,0))))</f>
        <v/>
      </c>
      <c r="U2225" s="194"/>
      <c r="V2225" s="218" t="e">
        <f>IF(C2225="",NA(),IF(OR(C2225="Smelter not listed",C2225="Smelter not yet identified"),MATCH($B2225&amp;$D2225,'Smelter Look-up'!$J:$J,0),MATCH($B2225&amp;$C2225,'Smelter Look-up'!$J:$J,0)))</f>
        <v>#N/A</v>
      </c>
      <c r="X2225" s="219">
        <f t="shared" ca="1" si="313"/>
        <v>0</v>
      </c>
      <c r="AB2225" s="220" t="str">
        <f t="shared" si="314"/>
        <v/>
      </c>
    </row>
    <row r="2226" spans="1:28" s="219" customFormat="1" ht="20.25">
      <c r="A2226" s="174"/>
      <c r="B2226" s="175" t="str">
        <f>IF(LEN(A2226)=0,"",INDEX('Smelter Look-up'!$A:$A,MATCH($A2226,'Smelter Look-up'!$E:$E,0)))</f>
        <v/>
      </c>
      <c r="C2226" s="179" t="str">
        <f>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312"/>
        <v/>
      </c>
      <c r="T2226" s="174" t="str">
        <f ca="1">IF(B2226="","",IF(ISERROR(MATCH($J2226,SorP!$B$1:$B$6279,0)),"",INDIRECT("'SorP'!$A$"&amp;MATCH($S2226&amp;$J2226,SorP!C:C,0))))</f>
        <v/>
      </c>
      <c r="U2226" s="194"/>
      <c r="V2226" s="218" t="e">
        <f>IF(C2226="",NA(),IF(OR(C2226="Smelter not listed",C2226="Smelter not yet identified"),MATCH($B2226&amp;$D2226,'Smelter Look-up'!$J:$J,0),MATCH($B2226&amp;$C2226,'Smelter Look-up'!$J:$J,0)))</f>
        <v>#N/A</v>
      </c>
      <c r="X2226" s="219">
        <f t="shared" ca="1" si="313"/>
        <v>0</v>
      </c>
      <c r="AB2226" s="220" t="str">
        <f t="shared" si="314"/>
        <v/>
      </c>
    </row>
    <row r="2227" spans="1:28" s="219" customFormat="1" ht="20.25">
      <c r="A2227" s="174"/>
      <c r="B2227" s="175" t="str">
        <f>IF(LEN(A2227)=0,"",INDEX('Smelter Look-up'!$A:$A,MATCH($A2227,'Smelter Look-up'!$E:$E,0)))</f>
        <v/>
      </c>
      <c r="C2227" s="179" t="str">
        <f>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312"/>
        <v/>
      </c>
      <c r="T2227" s="174" t="str">
        <f ca="1">IF(B2227="","",IF(ISERROR(MATCH($J2227,SorP!$B$1:$B$6279,0)),"",INDIRECT("'SorP'!$A$"&amp;MATCH($S2227&amp;$J2227,SorP!C:C,0))))</f>
        <v/>
      </c>
      <c r="U2227" s="194"/>
      <c r="V2227" s="218" t="e">
        <f>IF(C2227="",NA(),IF(OR(C2227="Smelter not listed",C2227="Smelter not yet identified"),MATCH($B2227&amp;$D2227,'Smelter Look-up'!$J:$J,0),MATCH($B2227&amp;$C2227,'Smelter Look-up'!$J:$J,0)))</f>
        <v>#N/A</v>
      </c>
      <c r="X2227" s="219">
        <f t="shared" ca="1" si="313"/>
        <v>0</v>
      </c>
      <c r="AB2227" s="220" t="str">
        <f t="shared" si="314"/>
        <v/>
      </c>
    </row>
    <row r="2228" spans="1:28" s="219" customFormat="1" ht="20.25">
      <c r="A2228" s="174"/>
      <c r="B2228" s="175" t="str">
        <f>IF(LEN(A2228)=0,"",INDEX('Smelter Look-up'!$A:$A,MATCH($A2228,'Smelter Look-up'!$E:$E,0)))</f>
        <v/>
      </c>
      <c r="C2228" s="179" t="str">
        <f>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312"/>
        <v/>
      </c>
      <c r="T2228" s="174" t="str">
        <f ca="1">IF(B2228="","",IF(ISERROR(MATCH($J2228,SorP!$B$1:$B$6279,0)),"",INDIRECT("'SorP'!$A$"&amp;MATCH($S2228&amp;$J2228,SorP!C:C,0))))</f>
        <v/>
      </c>
      <c r="U2228" s="194"/>
      <c r="V2228" s="218" t="e">
        <f>IF(C2228="",NA(),IF(OR(C2228="Smelter not listed",C2228="Smelter not yet identified"),MATCH($B2228&amp;$D2228,'Smelter Look-up'!$J:$J,0),MATCH($B2228&amp;$C2228,'Smelter Look-up'!$J:$J,0)))</f>
        <v>#N/A</v>
      </c>
      <c r="X2228" s="219">
        <f t="shared" ca="1" si="313"/>
        <v>0</v>
      </c>
      <c r="AB2228" s="220" t="str">
        <f t="shared" si="314"/>
        <v/>
      </c>
    </row>
    <row r="2229" spans="1:28" s="219" customFormat="1" ht="20.25">
      <c r="A2229" s="174"/>
      <c r="B2229" s="175" t="str">
        <f>IF(LEN(A2229)=0,"",INDEX('Smelter Look-up'!$A:$A,MATCH($A2229,'Smelter Look-up'!$E:$E,0)))</f>
        <v/>
      </c>
      <c r="C2229" s="179" t="str">
        <f>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312"/>
        <v/>
      </c>
      <c r="T2229" s="174" t="str">
        <f ca="1">IF(B2229="","",IF(ISERROR(MATCH($J2229,SorP!$B$1:$B$6279,0)),"",INDIRECT("'SorP'!$A$"&amp;MATCH($S2229&amp;$J2229,SorP!C:C,0))))</f>
        <v/>
      </c>
      <c r="U2229" s="194"/>
      <c r="V2229" s="218" t="e">
        <f>IF(C2229="",NA(),IF(OR(C2229="Smelter not listed",C2229="Smelter not yet identified"),MATCH($B2229&amp;$D2229,'Smelter Look-up'!$J:$J,0),MATCH($B2229&amp;$C2229,'Smelter Look-up'!$J:$J,0)))</f>
        <v>#N/A</v>
      </c>
      <c r="X2229" s="219">
        <f t="shared" ca="1" si="313"/>
        <v>0</v>
      </c>
      <c r="AB2229" s="220" t="str">
        <f t="shared" si="314"/>
        <v/>
      </c>
    </row>
    <row r="2230" spans="1:28" s="219" customFormat="1" ht="20.25">
      <c r="A2230" s="174"/>
      <c r="B2230" s="175" t="str">
        <f>IF(LEN(A2230)=0,"",INDEX('Smelter Look-up'!$A:$A,MATCH($A2230,'Smelter Look-up'!$E:$E,0)))</f>
        <v/>
      </c>
      <c r="C2230" s="179" t="str">
        <f>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312"/>
        <v/>
      </c>
      <c r="T2230" s="174" t="str">
        <f ca="1">IF(B2230="","",IF(ISERROR(MATCH($J2230,SorP!$B$1:$B$6279,0)),"",INDIRECT("'SorP'!$A$"&amp;MATCH($S2230&amp;$J2230,SorP!C:C,0))))</f>
        <v/>
      </c>
      <c r="U2230" s="194"/>
      <c r="V2230" s="218" t="e">
        <f>IF(C2230="",NA(),IF(OR(C2230="Smelter not listed",C2230="Smelter not yet identified"),MATCH($B2230&amp;$D2230,'Smelter Look-up'!$J:$J,0),MATCH($B2230&amp;$C2230,'Smelter Look-up'!$J:$J,0)))</f>
        <v>#N/A</v>
      </c>
      <c r="X2230" s="219">
        <f t="shared" ca="1" si="313"/>
        <v>0</v>
      </c>
      <c r="AB2230" s="220" t="str">
        <f t="shared" si="314"/>
        <v/>
      </c>
    </row>
    <row r="2231" spans="1:28" s="219" customFormat="1" ht="20.25">
      <c r="A2231" s="174"/>
      <c r="B2231" s="175" t="str">
        <f>IF(LEN(A2231)=0,"",INDEX('Smelter Look-up'!$A:$A,MATCH($A2231,'Smelter Look-up'!$E:$E,0)))</f>
        <v/>
      </c>
      <c r="C2231" s="179" t="str">
        <f>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312"/>
        <v/>
      </c>
      <c r="T2231" s="174" t="str">
        <f ca="1">IF(B2231="","",IF(ISERROR(MATCH($J2231,SorP!$B$1:$B$6279,0)),"",INDIRECT("'SorP'!$A$"&amp;MATCH($S2231&amp;$J2231,SorP!C:C,0))))</f>
        <v/>
      </c>
      <c r="U2231" s="194"/>
      <c r="V2231" s="218" t="e">
        <f>IF(C2231="",NA(),IF(OR(C2231="Smelter not listed",C2231="Smelter not yet identified"),MATCH($B2231&amp;$D2231,'Smelter Look-up'!$J:$J,0),MATCH($B2231&amp;$C2231,'Smelter Look-up'!$J:$J,0)))</f>
        <v>#N/A</v>
      </c>
      <c r="X2231" s="219">
        <f t="shared" ca="1" si="313"/>
        <v>0</v>
      </c>
      <c r="AB2231" s="220" t="str">
        <f t="shared" si="314"/>
        <v/>
      </c>
    </row>
    <row r="2232" spans="1:28" s="219" customFormat="1" ht="20.25">
      <c r="A2232" s="174"/>
      <c r="B2232" s="175" t="str">
        <f>IF(LEN(A2232)=0,"",INDEX('Smelter Look-up'!$A:$A,MATCH($A2232,'Smelter Look-up'!$E:$E,0)))</f>
        <v/>
      </c>
      <c r="C2232" s="179" t="str">
        <f>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312"/>
        <v/>
      </c>
      <c r="T2232" s="174" t="str">
        <f ca="1">IF(B2232="","",IF(ISERROR(MATCH($J2232,SorP!$B$1:$B$6279,0)),"",INDIRECT("'SorP'!$A$"&amp;MATCH($S2232&amp;$J2232,SorP!C:C,0))))</f>
        <v/>
      </c>
      <c r="U2232" s="194"/>
      <c r="V2232" s="218" t="e">
        <f>IF(C2232="",NA(),IF(OR(C2232="Smelter not listed",C2232="Smelter not yet identified"),MATCH($B2232&amp;$D2232,'Smelter Look-up'!$J:$J,0),MATCH($B2232&amp;$C2232,'Smelter Look-up'!$J:$J,0)))</f>
        <v>#N/A</v>
      </c>
      <c r="X2232" s="219">
        <f t="shared" ca="1" si="313"/>
        <v>0</v>
      </c>
      <c r="AB2232" s="220" t="str">
        <f t="shared" si="314"/>
        <v/>
      </c>
    </row>
    <row r="2233" spans="1:28" s="219" customFormat="1" ht="20.25">
      <c r="A2233" s="174"/>
      <c r="B2233" s="175" t="str">
        <f>IF(LEN(A2233)=0,"",INDEX('Smelter Look-up'!$A:$A,MATCH($A2233,'Smelter Look-up'!$E:$E,0)))</f>
        <v/>
      </c>
      <c r="C2233" s="179" t="str">
        <f>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ca="1" si="312"/>
        <v/>
      </c>
      <c r="T2233" s="174" t="str">
        <f ca="1">IF(B2233="","",IF(ISERROR(MATCH($J2233,SorP!$B$1:$B$6279,0)),"",INDIRECT("'SorP'!$A$"&amp;MATCH($S2233&amp;$J2233,SorP!C:C,0))))</f>
        <v/>
      </c>
      <c r="U2233" s="194"/>
      <c r="V2233" s="218" t="e">
        <f>IF(C2233="",NA(),IF(OR(C2233="Smelter not listed",C2233="Smelter not yet identified"),MATCH($B2233&amp;$D2233,'Smelter Look-up'!$J:$J,0),MATCH($B2233&amp;$C2233,'Smelter Look-up'!$J:$J,0)))</f>
        <v>#N/A</v>
      </c>
      <c r="X2233" s="219">
        <f t="shared" ca="1" si="313"/>
        <v>0</v>
      </c>
      <c r="AB2233" s="220" t="str">
        <f t="shared" si="314"/>
        <v/>
      </c>
    </row>
    <row r="2234" spans="1:28" s="219" customFormat="1" ht="20.25">
      <c r="A2234" s="174"/>
      <c r="B2234" s="175" t="str">
        <f>IF(LEN(A2234)=0,"",INDEX('Smelter Look-up'!$A:$A,MATCH($A2234,'Smelter Look-up'!$E:$E,0)))</f>
        <v/>
      </c>
      <c r="C2234" s="179" t="str">
        <f>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ca="1" si="312"/>
        <v/>
      </c>
      <c r="T2234" s="174" t="str">
        <f ca="1">IF(B2234="","",IF(ISERROR(MATCH($J2234,SorP!$B$1:$B$6279,0)),"",INDIRECT("'SorP'!$A$"&amp;MATCH($S2234&amp;$J2234,SorP!C:C,0))))</f>
        <v/>
      </c>
      <c r="U2234" s="194"/>
      <c r="V2234" s="218" t="e">
        <f>IF(C2234="",NA(),IF(OR(C2234="Smelter not listed",C2234="Smelter not yet identified"),MATCH($B2234&amp;$D2234,'Smelter Look-up'!$J:$J,0),MATCH($B2234&amp;$C2234,'Smelter Look-up'!$J:$J,0)))</f>
        <v>#N/A</v>
      </c>
      <c r="X2234" s="219">
        <f t="shared" ca="1" si="313"/>
        <v>0</v>
      </c>
      <c r="AB2234" s="220" t="str">
        <f t="shared" si="314"/>
        <v/>
      </c>
    </row>
    <row r="2235" spans="1:28" s="219" customFormat="1" ht="20.25">
      <c r="A2235" s="174"/>
      <c r="B2235" s="175" t="str">
        <f>IF(LEN(A2235)=0,"",INDEX('Smelter Look-up'!$A:$A,MATCH($A2235,'Smelter Look-up'!$E:$E,0)))</f>
        <v/>
      </c>
      <c r="C2235" s="179" t="str">
        <f>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t="shared" ref="S2235" ca="1" si="315">IF(B2235="","",IF(ISERROR(MATCH($E2235,CL,0)),"Unknown",INDIRECT("'C'!$A$"&amp;MATCH($E2235,CL,0)+1)))</f>
        <v/>
      </c>
      <c r="T2235" s="174" t="str">
        <f ca="1">IF(B2235="","",IF(ISERROR(MATCH($J2235,SorP!$B$1:$B$6279,0)),"",INDIRECT("'SorP'!$A$"&amp;MATCH($S2235&amp;$J2235,SorP!C:C,0))))</f>
        <v/>
      </c>
      <c r="U2235" s="194"/>
      <c r="V2235" s="218" t="e">
        <f>IF(C2235="",NA(),IF(OR(C2235="Smelter not listed",C2235="Smelter not yet identified"),MATCH($B2235&amp;$D2235,'Smelter Look-up'!$J:$J,0),MATCH($B2235&amp;$C2235,'Smelter Look-up'!$J:$J,0)))</f>
        <v>#N/A</v>
      </c>
      <c r="X2235" s="219">
        <f t="shared" ref="X2235" ca="1" si="316">IF(AND(C2235="Smelter not listed",OR(LEN(D2235)=0,LEN(E2235)=0)),1,0)</f>
        <v>0</v>
      </c>
      <c r="AB2235" s="220" t="str">
        <f t="shared" ref="AB2235" si="317">B2235&amp;C2235</f>
        <v/>
      </c>
    </row>
    <row r="2236" spans="1:28" s="219" customFormat="1" ht="20.25">
      <c r="A2236" s="174"/>
      <c r="B2236" s="175" t="str">
        <f>IF(LEN(A2236)=0,"",INDEX('Smelter Look-up'!$A:$A,MATCH($A2236,'Smelter Look-up'!$E:$E,0)))</f>
        <v/>
      </c>
      <c r="C2236" s="179" t="str">
        <f>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ref="S2236:S2267" ca="1" si="318">IF(B2236="","",IF(ISERROR(MATCH($E2236,CL,0)),"Unknown",INDIRECT("'C'!$A$"&amp;MATCH($E2236,CL,0)+1)))</f>
        <v/>
      </c>
      <c r="T2236" s="174" t="str">
        <f ca="1">IF(B2236="","",IF(ISERROR(MATCH($J2236,SorP!$B$1:$B$6279,0)),"",INDIRECT("'SorP'!$A$"&amp;MATCH($S2236&amp;$J2236,SorP!C:C,0))))</f>
        <v/>
      </c>
      <c r="U2236" s="194"/>
      <c r="V2236" s="218" t="e">
        <f>IF(C2236="",NA(),IF(OR(C2236="Smelter not listed",C2236="Smelter not yet identified"),MATCH($B2236&amp;$D2236,'Smelter Look-up'!$J:$J,0),MATCH($B2236&amp;$C2236,'Smelter Look-up'!$J:$J,0)))</f>
        <v>#N/A</v>
      </c>
      <c r="X2236" s="219">
        <f t="shared" ref="X2236:X2267" ca="1" si="319">IF(AND(C2236="Smelter not listed",OR(LEN(D2236)=0,LEN(E2236)=0)),1,0)</f>
        <v>0</v>
      </c>
      <c r="AB2236" s="220" t="str">
        <f t="shared" ref="AB2236:AB2267" si="320">B2236&amp;C2236</f>
        <v/>
      </c>
    </row>
    <row r="2237" spans="1:28" s="219" customFormat="1" ht="20.25">
      <c r="A2237" s="174"/>
      <c r="B2237" s="175" t="str">
        <f>IF(LEN(A2237)=0,"",INDEX('Smelter Look-up'!$A:$A,MATCH($A2237,'Smelter Look-up'!$E:$E,0)))</f>
        <v/>
      </c>
      <c r="C2237" s="179" t="str">
        <f>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318"/>
        <v/>
      </c>
      <c r="T2237" s="174" t="str">
        <f ca="1">IF(B2237="","",IF(ISERROR(MATCH($J2237,SorP!$B$1:$B$6279,0)),"",INDIRECT("'SorP'!$A$"&amp;MATCH($S2237&amp;$J2237,SorP!C:C,0))))</f>
        <v/>
      </c>
      <c r="U2237" s="194"/>
      <c r="V2237" s="218" t="e">
        <f>IF(C2237="",NA(),IF(OR(C2237="Smelter not listed",C2237="Smelter not yet identified"),MATCH($B2237&amp;$D2237,'Smelter Look-up'!$J:$J,0),MATCH($B2237&amp;$C2237,'Smelter Look-up'!$J:$J,0)))</f>
        <v>#N/A</v>
      </c>
      <c r="X2237" s="219">
        <f t="shared" ca="1" si="319"/>
        <v>0</v>
      </c>
      <c r="AB2237" s="220" t="str">
        <f t="shared" si="320"/>
        <v/>
      </c>
    </row>
    <row r="2238" spans="1:28" s="219" customFormat="1" ht="20.25">
      <c r="A2238" s="174"/>
      <c r="B2238" s="175" t="str">
        <f>IF(LEN(A2238)=0,"",INDEX('Smelter Look-up'!$A:$A,MATCH($A2238,'Smelter Look-up'!$E:$E,0)))</f>
        <v/>
      </c>
      <c r="C2238" s="179" t="str">
        <f>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318"/>
        <v/>
      </c>
      <c r="T2238" s="174" t="str">
        <f ca="1">IF(B2238="","",IF(ISERROR(MATCH($J2238,SorP!$B$1:$B$6279,0)),"",INDIRECT("'SorP'!$A$"&amp;MATCH($S2238&amp;$J2238,SorP!C:C,0))))</f>
        <v/>
      </c>
      <c r="U2238" s="194"/>
      <c r="V2238" s="218" t="e">
        <f>IF(C2238="",NA(),IF(OR(C2238="Smelter not listed",C2238="Smelter not yet identified"),MATCH($B2238&amp;$D2238,'Smelter Look-up'!$J:$J,0),MATCH($B2238&amp;$C2238,'Smelter Look-up'!$J:$J,0)))</f>
        <v>#N/A</v>
      </c>
      <c r="X2238" s="219">
        <f t="shared" ca="1" si="319"/>
        <v>0</v>
      </c>
      <c r="AB2238" s="220" t="str">
        <f t="shared" si="320"/>
        <v/>
      </c>
    </row>
    <row r="2239" spans="1:28" s="219" customFormat="1" ht="20.25">
      <c r="A2239" s="174"/>
      <c r="B2239" s="175" t="str">
        <f>IF(LEN(A2239)=0,"",INDEX('Smelter Look-up'!$A:$A,MATCH($A2239,'Smelter Look-up'!$E:$E,0)))</f>
        <v/>
      </c>
      <c r="C2239" s="179" t="str">
        <f>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318"/>
        <v/>
      </c>
      <c r="T2239" s="174" t="str">
        <f ca="1">IF(B2239="","",IF(ISERROR(MATCH($J2239,SorP!$B$1:$B$6279,0)),"",INDIRECT("'SorP'!$A$"&amp;MATCH($S2239&amp;$J2239,SorP!C:C,0))))</f>
        <v/>
      </c>
      <c r="U2239" s="194"/>
      <c r="V2239" s="218" t="e">
        <f>IF(C2239="",NA(),IF(OR(C2239="Smelter not listed",C2239="Smelter not yet identified"),MATCH($B2239&amp;$D2239,'Smelter Look-up'!$J:$J,0),MATCH($B2239&amp;$C2239,'Smelter Look-up'!$J:$J,0)))</f>
        <v>#N/A</v>
      </c>
      <c r="X2239" s="219">
        <f t="shared" ca="1" si="319"/>
        <v>0</v>
      </c>
      <c r="AB2239" s="220" t="str">
        <f t="shared" si="320"/>
        <v/>
      </c>
    </row>
    <row r="2240" spans="1:28" s="219" customFormat="1" ht="20.25">
      <c r="A2240" s="174"/>
      <c r="B2240" s="175" t="str">
        <f>IF(LEN(A2240)=0,"",INDEX('Smelter Look-up'!$A:$A,MATCH($A2240,'Smelter Look-up'!$E:$E,0)))</f>
        <v/>
      </c>
      <c r="C2240" s="179" t="str">
        <f>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318"/>
        <v/>
      </c>
      <c r="T2240" s="174" t="str">
        <f ca="1">IF(B2240="","",IF(ISERROR(MATCH($J2240,SorP!$B$1:$B$6279,0)),"",INDIRECT("'SorP'!$A$"&amp;MATCH($S2240&amp;$J2240,SorP!C:C,0))))</f>
        <v/>
      </c>
      <c r="U2240" s="194"/>
      <c r="V2240" s="218" t="e">
        <f>IF(C2240="",NA(),IF(OR(C2240="Smelter not listed",C2240="Smelter not yet identified"),MATCH($B2240&amp;$D2240,'Smelter Look-up'!$J:$J,0),MATCH($B2240&amp;$C2240,'Smelter Look-up'!$J:$J,0)))</f>
        <v>#N/A</v>
      </c>
      <c r="X2240" s="219">
        <f t="shared" ca="1" si="319"/>
        <v>0</v>
      </c>
      <c r="AB2240" s="220" t="str">
        <f t="shared" si="320"/>
        <v/>
      </c>
    </row>
    <row r="2241" spans="1:28" s="219" customFormat="1" ht="20.25">
      <c r="A2241" s="174"/>
      <c r="B2241" s="175" t="str">
        <f>IF(LEN(A2241)=0,"",INDEX('Smelter Look-up'!$A:$A,MATCH($A2241,'Smelter Look-up'!$E:$E,0)))</f>
        <v/>
      </c>
      <c r="C2241" s="179" t="str">
        <f>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318"/>
        <v/>
      </c>
      <c r="T2241" s="174" t="str">
        <f ca="1">IF(B2241="","",IF(ISERROR(MATCH($J2241,SorP!$B$1:$B$6279,0)),"",INDIRECT("'SorP'!$A$"&amp;MATCH($S2241&amp;$J2241,SorP!C:C,0))))</f>
        <v/>
      </c>
      <c r="U2241" s="194"/>
      <c r="V2241" s="218" t="e">
        <f>IF(C2241="",NA(),IF(OR(C2241="Smelter not listed",C2241="Smelter not yet identified"),MATCH($B2241&amp;$D2241,'Smelter Look-up'!$J:$J,0),MATCH($B2241&amp;$C2241,'Smelter Look-up'!$J:$J,0)))</f>
        <v>#N/A</v>
      </c>
      <c r="X2241" s="219">
        <f t="shared" ca="1" si="319"/>
        <v>0</v>
      </c>
      <c r="AB2241" s="220" t="str">
        <f t="shared" si="320"/>
        <v/>
      </c>
    </row>
    <row r="2242" spans="1:28" s="219" customFormat="1" ht="20.25">
      <c r="A2242" s="174"/>
      <c r="B2242" s="175" t="str">
        <f>IF(LEN(A2242)=0,"",INDEX('Smelter Look-up'!$A:$A,MATCH($A2242,'Smelter Look-up'!$E:$E,0)))</f>
        <v/>
      </c>
      <c r="C2242" s="179" t="str">
        <f>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318"/>
        <v/>
      </c>
      <c r="T2242" s="174" t="str">
        <f ca="1">IF(B2242="","",IF(ISERROR(MATCH($J2242,SorP!$B$1:$B$6279,0)),"",INDIRECT("'SorP'!$A$"&amp;MATCH($S2242&amp;$J2242,SorP!C:C,0))))</f>
        <v/>
      </c>
      <c r="U2242" s="194"/>
      <c r="V2242" s="218" t="e">
        <f>IF(C2242="",NA(),IF(OR(C2242="Smelter not listed",C2242="Smelter not yet identified"),MATCH($B2242&amp;$D2242,'Smelter Look-up'!$J:$J,0),MATCH($B2242&amp;$C2242,'Smelter Look-up'!$J:$J,0)))</f>
        <v>#N/A</v>
      </c>
      <c r="X2242" s="219">
        <f t="shared" ca="1" si="319"/>
        <v>0</v>
      </c>
      <c r="AB2242" s="220" t="str">
        <f t="shared" si="320"/>
        <v/>
      </c>
    </row>
    <row r="2243" spans="1:28" s="219" customFormat="1" ht="20.25">
      <c r="A2243" s="174"/>
      <c r="B2243" s="175" t="str">
        <f>IF(LEN(A2243)=0,"",INDEX('Smelter Look-up'!$A:$A,MATCH($A2243,'Smelter Look-up'!$E:$E,0)))</f>
        <v/>
      </c>
      <c r="C2243" s="179" t="str">
        <f>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318"/>
        <v/>
      </c>
      <c r="T2243" s="174" t="str">
        <f ca="1">IF(B2243="","",IF(ISERROR(MATCH($J2243,SorP!$B$1:$B$6279,0)),"",INDIRECT("'SorP'!$A$"&amp;MATCH($S2243&amp;$J2243,SorP!C:C,0))))</f>
        <v/>
      </c>
      <c r="U2243" s="194"/>
      <c r="V2243" s="218" t="e">
        <f>IF(C2243="",NA(),IF(OR(C2243="Smelter not listed",C2243="Smelter not yet identified"),MATCH($B2243&amp;$D2243,'Smelter Look-up'!$J:$J,0),MATCH($B2243&amp;$C2243,'Smelter Look-up'!$J:$J,0)))</f>
        <v>#N/A</v>
      </c>
      <c r="X2243" s="219">
        <f t="shared" ca="1" si="319"/>
        <v>0</v>
      </c>
      <c r="AB2243" s="220" t="str">
        <f t="shared" si="320"/>
        <v/>
      </c>
    </row>
    <row r="2244" spans="1:28" s="219" customFormat="1" ht="20.25">
      <c r="A2244" s="174"/>
      <c r="B2244" s="175" t="str">
        <f>IF(LEN(A2244)=0,"",INDEX('Smelter Look-up'!$A:$A,MATCH($A2244,'Smelter Look-up'!$E:$E,0)))</f>
        <v/>
      </c>
      <c r="C2244" s="179" t="str">
        <f>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318"/>
        <v/>
      </c>
      <c r="T2244" s="174" t="str">
        <f ca="1">IF(B2244="","",IF(ISERROR(MATCH($J2244,SorP!$B$1:$B$6279,0)),"",INDIRECT("'SorP'!$A$"&amp;MATCH($S2244&amp;$J2244,SorP!C:C,0))))</f>
        <v/>
      </c>
      <c r="U2244" s="194"/>
      <c r="V2244" s="218" t="e">
        <f>IF(C2244="",NA(),IF(OR(C2244="Smelter not listed",C2244="Smelter not yet identified"),MATCH($B2244&amp;$D2244,'Smelter Look-up'!$J:$J,0),MATCH($B2244&amp;$C2244,'Smelter Look-up'!$J:$J,0)))</f>
        <v>#N/A</v>
      </c>
      <c r="X2244" s="219">
        <f t="shared" ca="1" si="319"/>
        <v>0</v>
      </c>
      <c r="AB2244" s="220" t="str">
        <f t="shared" si="320"/>
        <v/>
      </c>
    </row>
    <row r="2245" spans="1:28" s="219" customFormat="1" ht="20.25">
      <c r="A2245" s="174"/>
      <c r="B2245" s="175" t="str">
        <f>IF(LEN(A2245)=0,"",INDEX('Smelter Look-up'!$A:$A,MATCH($A2245,'Smelter Look-up'!$E:$E,0)))</f>
        <v/>
      </c>
      <c r="C2245" s="179" t="str">
        <f>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318"/>
        <v/>
      </c>
      <c r="T2245" s="174" t="str">
        <f ca="1">IF(B2245="","",IF(ISERROR(MATCH($J2245,SorP!$B$1:$B$6279,0)),"",INDIRECT("'SorP'!$A$"&amp;MATCH($S2245&amp;$J2245,SorP!C:C,0))))</f>
        <v/>
      </c>
      <c r="U2245" s="194"/>
      <c r="V2245" s="218" t="e">
        <f>IF(C2245="",NA(),IF(OR(C2245="Smelter not listed",C2245="Smelter not yet identified"),MATCH($B2245&amp;$D2245,'Smelter Look-up'!$J:$J,0),MATCH($B2245&amp;$C2245,'Smelter Look-up'!$J:$J,0)))</f>
        <v>#N/A</v>
      </c>
      <c r="X2245" s="219">
        <f t="shared" ca="1" si="319"/>
        <v>0</v>
      </c>
      <c r="AB2245" s="220" t="str">
        <f t="shared" si="320"/>
        <v/>
      </c>
    </row>
    <row r="2246" spans="1:28" s="219" customFormat="1" ht="20.25">
      <c r="A2246" s="174"/>
      <c r="B2246" s="175" t="str">
        <f>IF(LEN(A2246)=0,"",INDEX('Smelter Look-up'!$A:$A,MATCH($A2246,'Smelter Look-up'!$E:$E,0)))</f>
        <v/>
      </c>
      <c r="C2246" s="179" t="str">
        <f>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318"/>
        <v/>
      </c>
      <c r="T2246" s="174" t="str">
        <f ca="1">IF(B2246="","",IF(ISERROR(MATCH($J2246,SorP!$B$1:$B$6279,0)),"",INDIRECT("'SorP'!$A$"&amp;MATCH($S2246&amp;$J2246,SorP!C:C,0))))</f>
        <v/>
      </c>
      <c r="U2246" s="194"/>
      <c r="V2246" s="218" t="e">
        <f>IF(C2246="",NA(),IF(OR(C2246="Smelter not listed",C2246="Smelter not yet identified"),MATCH($B2246&amp;$D2246,'Smelter Look-up'!$J:$J,0),MATCH($B2246&amp;$C2246,'Smelter Look-up'!$J:$J,0)))</f>
        <v>#N/A</v>
      </c>
      <c r="X2246" s="219">
        <f t="shared" ca="1" si="319"/>
        <v>0</v>
      </c>
      <c r="AB2246" s="220" t="str">
        <f t="shared" si="320"/>
        <v/>
      </c>
    </row>
    <row r="2247" spans="1:28" s="219" customFormat="1" ht="20.25">
      <c r="A2247" s="174"/>
      <c r="B2247" s="175" t="str">
        <f>IF(LEN(A2247)=0,"",INDEX('Smelter Look-up'!$A:$A,MATCH($A2247,'Smelter Look-up'!$E:$E,0)))</f>
        <v/>
      </c>
      <c r="C2247" s="179" t="str">
        <f>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318"/>
        <v/>
      </c>
      <c r="T2247" s="174" t="str">
        <f ca="1">IF(B2247="","",IF(ISERROR(MATCH($J2247,SorP!$B$1:$B$6279,0)),"",INDIRECT("'SorP'!$A$"&amp;MATCH($S2247&amp;$J2247,SorP!C:C,0))))</f>
        <v/>
      </c>
      <c r="U2247" s="194"/>
      <c r="V2247" s="218" t="e">
        <f>IF(C2247="",NA(),IF(OR(C2247="Smelter not listed",C2247="Smelter not yet identified"),MATCH($B2247&amp;$D2247,'Smelter Look-up'!$J:$J,0),MATCH($B2247&amp;$C2247,'Smelter Look-up'!$J:$J,0)))</f>
        <v>#N/A</v>
      </c>
      <c r="X2247" s="219">
        <f t="shared" ca="1" si="319"/>
        <v>0</v>
      </c>
      <c r="AB2247" s="220" t="str">
        <f t="shared" si="320"/>
        <v/>
      </c>
    </row>
    <row r="2248" spans="1:28" s="219" customFormat="1" ht="20.25">
      <c r="A2248" s="174"/>
      <c r="B2248" s="175" t="str">
        <f>IF(LEN(A2248)=0,"",INDEX('Smelter Look-up'!$A:$A,MATCH($A2248,'Smelter Look-up'!$E:$E,0)))</f>
        <v/>
      </c>
      <c r="C2248" s="179" t="str">
        <f>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318"/>
        <v/>
      </c>
      <c r="T2248" s="174" t="str">
        <f ca="1">IF(B2248="","",IF(ISERROR(MATCH($J2248,SorP!$B$1:$B$6279,0)),"",INDIRECT("'SorP'!$A$"&amp;MATCH($S2248&amp;$J2248,SorP!C:C,0))))</f>
        <v/>
      </c>
      <c r="U2248" s="194"/>
      <c r="V2248" s="218" t="e">
        <f>IF(C2248="",NA(),IF(OR(C2248="Smelter not listed",C2248="Smelter not yet identified"),MATCH($B2248&amp;$D2248,'Smelter Look-up'!$J:$J,0),MATCH($B2248&amp;$C2248,'Smelter Look-up'!$J:$J,0)))</f>
        <v>#N/A</v>
      </c>
      <c r="X2248" s="219">
        <f t="shared" ca="1" si="319"/>
        <v>0</v>
      </c>
      <c r="AB2248" s="220" t="str">
        <f t="shared" si="320"/>
        <v/>
      </c>
    </row>
    <row r="2249" spans="1:28" s="219" customFormat="1" ht="20.25">
      <c r="A2249" s="174"/>
      <c r="B2249" s="175" t="str">
        <f>IF(LEN(A2249)=0,"",INDEX('Smelter Look-up'!$A:$A,MATCH($A2249,'Smelter Look-up'!$E:$E,0)))</f>
        <v/>
      </c>
      <c r="C2249" s="179" t="str">
        <f>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318"/>
        <v/>
      </c>
      <c r="T2249" s="174" t="str">
        <f ca="1">IF(B2249="","",IF(ISERROR(MATCH($J2249,SorP!$B$1:$B$6279,0)),"",INDIRECT("'SorP'!$A$"&amp;MATCH($S2249&amp;$J2249,SorP!C:C,0))))</f>
        <v/>
      </c>
      <c r="U2249" s="194"/>
      <c r="V2249" s="218" t="e">
        <f>IF(C2249="",NA(),IF(OR(C2249="Smelter not listed",C2249="Smelter not yet identified"),MATCH($B2249&amp;$D2249,'Smelter Look-up'!$J:$J,0),MATCH($B2249&amp;$C2249,'Smelter Look-up'!$J:$J,0)))</f>
        <v>#N/A</v>
      </c>
      <c r="X2249" s="219">
        <f t="shared" ca="1" si="319"/>
        <v>0</v>
      </c>
      <c r="AB2249" s="220" t="str">
        <f t="shared" si="320"/>
        <v/>
      </c>
    </row>
    <row r="2250" spans="1:28" s="219" customFormat="1" ht="20.25">
      <c r="A2250" s="174"/>
      <c r="B2250" s="175" t="str">
        <f>IF(LEN(A2250)=0,"",INDEX('Smelter Look-up'!$A:$A,MATCH($A2250,'Smelter Look-up'!$E:$E,0)))</f>
        <v/>
      </c>
      <c r="C2250" s="179" t="str">
        <f>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318"/>
        <v/>
      </c>
      <c r="T2250" s="174" t="str">
        <f ca="1">IF(B2250="","",IF(ISERROR(MATCH($J2250,SorP!$B$1:$B$6279,0)),"",INDIRECT("'SorP'!$A$"&amp;MATCH($S2250&amp;$J2250,SorP!C:C,0))))</f>
        <v/>
      </c>
      <c r="U2250" s="194"/>
      <c r="V2250" s="218" t="e">
        <f>IF(C2250="",NA(),IF(OR(C2250="Smelter not listed",C2250="Smelter not yet identified"),MATCH($B2250&amp;$D2250,'Smelter Look-up'!$J:$J,0),MATCH($B2250&amp;$C2250,'Smelter Look-up'!$J:$J,0)))</f>
        <v>#N/A</v>
      </c>
      <c r="X2250" s="219">
        <f t="shared" ca="1" si="319"/>
        <v>0</v>
      </c>
      <c r="AB2250" s="220" t="str">
        <f t="shared" si="320"/>
        <v/>
      </c>
    </row>
    <row r="2251" spans="1:28" s="219" customFormat="1" ht="20.25">
      <c r="A2251" s="174"/>
      <c r="B2251" s="175" t="str">
        <f>IF(LEN(A2251)=0,"",INDEX('Smelter Look-up'!$A:$A,MATCH($A2251,'Smelter Look-up'!$E:$E,0)))</f>
        <v/>
      </c>
      <c r="C2251" s="179" t="str">
        <f>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318"/>
        <v/>
      </c>
      <c r="T2251" s="174" t="str">
        <f ca="1">IF(B2251="","",IF(ISERROR(MATCH($J2251,SorP!$B$1:$B$6279,0)),"",INDIRECT("'SorP'!$A$"&amp;MATCH($S2251&amp;$J2251,SorP!C:C,0))))</f>
        <v/>
      </c>
      <c r="U2251" s="194"/>
      <c r="V2251" s="218" t="e">
        <f>IF(C2251="",NA(),IF(OR(C2251="Smelter not listed",C2251="Smelter not yet identified"),MATCH($B2251&amp;$D2251,'Smelter Look-up'!$J:$J,0),MATCH($B2251&amp;$C2251,'Smelter Look-up'!$J:$J,0)))</f>
        <v>#N/A</v>
      </c>
      <c r="X2251" s="219">
        <f t="shared" ca="1" si="319"/>
        <v>0</v>
      </c>
      <c r="AB2251" s="220" t="str">
        <f t="shared" si="320"/>
        <v/>
      </c>
    </row>
    <row r="2252" spans="1:28" s="219" customFormat="1" ht="20.25">
      <c r="A2252" s="174"/>
      <c r="B2252" s="175" t="str">
        <f>IF(LEN(A2252)=0,"",INDEX('Smelter Look-up'!$A:$A,MATCH($A2252,'Smelter Look-up'!$E:$E,0)))</f>
        <v/>
      </c>
      <c r="C2252" s="179" t="str">
        <f>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318"/>
        <v/>
      </c>
      <c r="T2252" s="174" t="str">
        <f ca="1">IF(B2252="","",IF(ISERROR(MATCH($J2252,SorP!$B$1:$B$6279,0)),"",INDIRECT("'SorP'!$A$"&amp;MATCH($S2252&amp;$J2252,SorP!C:C,0))))</f>
        <v/>
      </c>
      <c r="U2252" s="194"/>
      <c r="V2252" s="218" t="e">
        <f>IF(C2252="",NA(),IF(OR(C2252="Smelter not listed",C2252="Smelter not yet identified"),MATCH($B2252&amp;$D2252,'Smelter Look-up'!$J:$J,0),MATCH($B2252&amp;$C2252,'Smelter Look-up'!$J:$J,0)))</f>
        <v>#N/A</v>
      </c>
      <c r="X2252" s="219">
        <f t="shared" ca="1" si="319"/>
        <v>0</v>
      </c>
      <c r="AB2252" s="220" t="str">
        <f t="shared" si="320"/>
        <v/>
      </c>
    </row>
    <row r="2253" spans="1:28" s="219" customFormat="1" ht="20.25">
      <c r="A2253" s="174"/>
      <c r="B2253" s="175" t="str">
        <f>IF(LEN(A2253)=0,"",INDEX('Smelter Look-up'!$A:$A,MATCH($A2253,'Smelter Look-up'!$E:$E,0)))</f>
        <v/>
      </c>
      <c r="C2253" s="179" t="str">
        <f>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318"/>
        <v/>
      </c>
      <c r="T2253" s="174" t="str">
        <f ca="1">IF(B2253="","",IF(ISERROR(MATCH($J2253,SorP!$B$1:$B$6279,0)),"",INDIRECT("'SorP'!$A$"&amp;MATCH($S2253&amp;$J2253,SorP!C:C,0))))</f>
        <v/>
      </c>
      <c r="U2253" s="194"/>
      <c r="V2253" s="218" t="e">
        <f>IF(C2253="",NA(),IF(OR(C2253="Smelter not listed",C2253="Smelter not yet identified"),MATCH($B2253&amp;$D2253,'Smelter Look-up'!$J:$J,0),MATCH($B2253&amp;$C2253,'Smelter Look-up'!$J:$J,0)))</f>
        <v>#N/A</v>
      </c>
      <c r="X2253" s="219">
        <f t="shared" ca="1" si="319"/>
        <v>0</v>
      </c>
      <c r="AB2253" s="220" t="str">
        <f t="shared" si="320"/>
        <v/>
      </c>
    </row>
    <row r="2254" spans="1:28" s="219" customFormat="1" ht="20.25">
      <c r="A2254" s="174"/>
      <c r="B2254" s="175" t="str">
        <f>IF(LEN(A2254)=0,"",INDEX('Smelter Look-up'!$A:$A,MATCH($A2254,'Smelter Look-up'!$E:$E,0)))</f>
        <v/>
      </c>
      <c r="C2254" s="179" t="str">
        <f>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318"/>
        <v/>
      </c>
      <c r="T2254" s="174" t="str">
        <f ca="1">IF(B2254="","",IF(ISERROR(MATCH($J2254,SorP!$B$1:$B$6279,0)),"",INDIRECT("'SorP'!$A$"&amp;MATCH($S2254&amp;$J2254,SorP!C:C,0))))</f>
        <v/>
      </c>
      <c r="U2254" s="194"/>
      <c r="V2254" s="218" t="e">
        <f>IF(C2254="",NA(),IF(OR(C2254="Smelter not listed",C2254="Smelter not yet identified"),MATCH($B2254&amp;$D2254,'Smelter Look-up'!$J:$J,0),MATCH($B2254&amp;$C2254,'Smelter Look-up'!$J:$J,0)))</f>
        <v>#N/A</v>
      </c>
      <c r="X2254" s="219">
        <f t="shared" ca="1" si="319"/>
        <v>0</v>
      </c>
      <c r="AB2254" s="220" t="str">
        <f t="shared" si="320"/>
        <v/>
      </c>
    </row>
    <row r="2255" spans="1:28" s="219" customFormat="1" ht="20.25">
      <c r="A2255" s="174"/>
      <c r="B2255" s="175" t="str">
        <f>IF(LEN(A2255)=0,"",INDEX('Smelter Look-up'!$A:$A,MATCH($A2255,'Smelter Look-up'!$E:$E,0)))</f>
        <v/>
      </c>
      <c r="C2255" s="179" t="str">
        <f>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318"/>
        <v/>
      </c>
      <c r="T2255" s="174" t="str">
        <f ca="1">IF(B2255="","",IF(ISERROR(MATCH($J2255,SorP!$B$1:$B$6279,0)),"",INDIRECT("'SorP'!$A$"&amp;MATCH($S2255&amp;$J2255,SorP!C:C,0))))</f>
        <v/>
      </c>
      <c r="U2255" s="194"/>
      <c r="V2255" s="218" t="e">
        <f>IF(C2255="",NA(),IF(OR(C2255="Smelter not listed",C2255="Smelter not yet identified"),MATCH($B2255&amp;$D2255,'Smelter Look-up'!$J:$J,0),MATCH($B2255&amp;$C2255,'Smelter Look-up'!$J:$J,0)))</f>
        <v>#N/A</v>
      </c>
      <c r="X2255" s="219">
        <f t="shared" ca="1" si="319"/>
        <v>0</v>
      </c>
      <c r="AB2255" s="220" t="str">
        <f t="shared" si="320"/>
        <v/>
      </c>
    </row>
    <row r="2256" spans="1:28" s="219" customFormat="1" ht="20.25">
      <c r="A2256" s="174"/>
      <c r="B2256" s="175" t="str">
        <f>IF(LEN(A2256)=0,"",INDEX('Smelter Look-up'!$A:$A,MATCH($A2256,'Smelter Look-up'!$E:$E,0)))</f>
        <v/>
      </c>
      <c r="C2256" s="179" t="str">
        <f>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318"/>
        <v/>
      </c>
      <c r="T2256" s="174" t="str">
        <f ca="1">IF(B2256="","",IF(ISERROR(MATCH($J2256,SorP!$B$1:$B$6279,0)),"",INDIRECT("'SorP'!$A$"&amp;MATCH($S2256&amp;$J2256,SorP!C:C,0))))</f>
        <v/>
      </c>
      <c r="U2256" s="194"/>
      <c r="V2256" s="218" t="e">
        <f>IF(C2256="",NA(),IF(OR(C2256="Smelter not listed",C2256="Smelter not yet identified"),MATCH($B2256&amp;$D2256,'Smelter Look-up'!$J:$J,0),MATCH($B2256&amp;$C2256,'Smelter Look-up'!$J:$J,0)))</f>
        <v>#N/A</v>
      </c>
      <c r="X2256" s="219">
        <f t="shared" ca="1" si="319"/>
        <v>0</v>
      </c>
      <c r="AB2256" s="220" t="str">
        <f t="shared" si="320"/>
        <v/>
      </c>
    </row>
    <row r="2257" spans="1:28" s="219" customFormat="1" ht="20.25">
      <c r="A2257" s="174"/>
      <c r="B2257" s="175" t="str">
        <f>IF(LEN(A2257)=0,"",INDEX('Smelter Look-up'!$A:$A,MATCH($A2257,'Smelter Look-up'!$E:$E,0)))</f>
        <v/>
      </c>
      <c r="C2257" s="179" t="str">
        <f>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318"/>
        <v/>
      </c>
      <c r="T2257" s="174" t="str">
        <f ca="1">IF(B2257="","",IF(ISERROR(MATCH($J2257,SorP!$B$1:$B$6279,0)),"",INDIRECT("'SorP'!$A$"&amp;MATCH($S2257&amp;$J2257,SorP!C:C,0))))</f>
        <v/>
      </c>
      <c r="U2257" s="194"/>
      <c r="V2257" s="218" t="e">
        <f>IF(C2257="",NA(),IF(OR(C2257="Smelter not listed",C2257="Smelter not yet identified"),MATCH($B2257&amp;$D2257,'Smelter Look-up'!$J:$J,0),MATCH($B2257&amp;$C2257,'Smelter Look-up'!$J:$J,0)))</f>
        <v>#N/A</v>
      </c>
      <c r="X2257" s="219">
        <f t="shared" ca="1" si="319"/>
        <v>0</v>
      </c>
      <c r="AB2257" s="220" t="str">
        <f t="shared" si="320"/>
        <v/>
      </c>
    </row>
    <row r="2258" spans="1:28" s="219" customFormat="1" ht="20.25">
      <c r="A2258" s="174"/>
      <c r="B2258" s="175" t="str">
        <f>IF(LEN(A2258)=0,"",INDEX('Smelter Look-up'!$A:$A,MATCH($A2258,'Smelter Look-up'!$E:$E,0)))</f>
        <v/>
      </c>
      <c r="C2258" s="179" t="str">
        <f>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318"/>
        <v/>
      </c>
      <c r="T2258" s="174" t="str">
        <f ca="1">IF(B2258="","",IF(ISERROR(MATCH($J2258,SorP!$B$1:$B$6279,0)),"",INDIRECT("'SorP'!$A$"&amp;MATCH($S2258&amp;$J2258,SorP!C:C,0))))</f>
        <v/>
      </c>
      <c r="U2258" s="194"/>
      <c r="V2258" s="218" t="e">
        <f>IF(C2258="",NA(),IF(OR(C2258="Smelter not listed",C2258="Smelter not yet identified"),MATCH($B2258&amp;$D2258,'Smelter Look-up'!$J:$J,0),MATCH($B2258&amp;$C2258,'Smelter Look-up'!$J:$J,0)))</f>
        <v>#N/A</v>
      </c>
      <c r="X2258" s="219">
        <f t="shared" ca="1" si="319"/>
        <v>0</v>
      </c>
      <c r="AB2258" s="220" t="str">
        <f t="shared" si="320"/>
        <v/>
      </c>
    </row>
    <row r="2259" spans="1:28" s="219" customFormat="1" ht="20.25">
      <c r="A2259" s="174"/>
      <c r="B2259" s="175" t="str">
        <f>IF(LEN(A2259)=0,"",INDEX('Smelter Look-up'!$A:$A,MATCH($A2259,'Smelter Look-up'!$E:$E,0)))</f>
        <v/>
      </c>
      <c r="C2259" s="179" t="str">
        <f>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318"/>
        <v/>
      </c>
      <c r="T2259" s="174" t="str">
        <f ca="1">IF(B2259="","",IF(ISERROR(MATCH($J2259,SorP!$B$1:$B$6279,0)),"",INDIRECT("'SorP'!$A$"&amp;MATCH($S2259&amp;$J2259,SorP!C:C,0))))</f>
        <v/>
      </c>
      <c r="U2259" s="194"/>
      <c r="V2259" s="218" t="e">
        <f>IF(C2259="",NA(),IF(OR(C2259="Smelter not listed",C2259="Smelter not yet identified"),MATCH($B2259&amp;$D2259,'Smelter Look-up'!$J:$J,0),MATCH($B2259&amp;$C2259,'Smelter Look-up'!$J:$J,0)))</f>
        <v>#N/A</v>
      </c>
      <c r="X2259" s="219">
        <f t="shared" ca="1" si="319"/>
        <v>0</v>
      </c>
      <c r="AB2259" s="220" t="str">
        <f t="shared" si="320"/>
        <v/>
      </c>
    </row>
    <row r="2260" spans="1:28" s="219" customFormat="1" ht="20.25">
      <c r="A2260" s="174"/>
      <c r="B2260" s="175" t="str">
        <f>IF(LEN(A2260)=0,"",INDEX('Smelter Look-up'!$A:$A,MATCH($A2260,'Smelter Look-up'!$E:$E,0)))</f>
        <v/>
      </c>
      <c r="C2260" s="179" t="str">
        <f>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318"/>
        <v/>
      </c>
      <c r="T2260" s="174" t="str">
        <f ca="1">IF(B2260="","",IF(ISERROR(MATCH($J2260,SorP!$B$1:$B$6279,0)),"",INDIRECT("'SorP'!$A$"&amp;MATCH($S2260&amp;$J2260,SorP!C:C,0))))</f>
        <v/>
      </c>
      <c r="U2260" s="194"/>
      <c r="V2260" s="218" t="e">
        <f>IF(C2260="",NA(),IF(OR(C2260="Smelter not listed",C2260="Smelter not yet identified"),MATCH($B2260&amp;$D2260,'Smelter Look-up'!$J:$J,0),MATCH($B2260&amp;$C2260,'Smelter Look-up'!$J:$J,0)))</f>
        <v>#N/A</v>
      </c>
      <c r="X2260" s="219">
        <f t="shared" ca="1" si="319"/>
        <v>0</v>
      </c>
      <c r="AB2260" s="220" t="str">
        <f t="shared" si="320"/>
        <v/>
      </c>
    </row>
    <row r="2261" spans="1:28" s="219" customFormat="1" ht="20.25">
      <c r="A2261" s="174"/>
      <c r="B2261" s="175" t="str">
        <f>IF(LEN(A2261)=0,"",INDEX('Smelter Look-up'!$A:$A,MATCH($A2261,'Smelter Look-up'!$E:$E,0)))</f>
        <v/>
      </c>
      <c r="C2261" s="179" t="str">
        <f>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318"/>
        <v/>
      </c>
      <c r="T2261" s="174" t="str">
        <f ca="1">IF(B2261="","",IF(ISERROR(MATCH($J2261,SorP!$B$1:$B$6279,0)),"",INDIRECT("'SorP'!$A$"&amp;MATCH($S2261&amp;$J2261,SorP!C:C,0))))</f>
        <v/>
      </c>
      <c r="U2261" s="194"/>
      <c r="V2261" s="218" t="e">
        <f>IF(C2261="",NA(),IF(OR(C2261="Smelter not listed",C2261="Smelter not yet identified"),MATCH($B2261&amp;$D2261,'Smelter Look-up'!$J:$J,0),MATCH($B2261&amp;$C2261,'Smelter Look-up'!$J:$J,0)))</f>
        <v>#N/A</v>
      </c>
      <c r="X2261" s="219">
        <f t="shared" ca="1" si="319"/>
        <v>0</v>
      </c>
      <c r="AB2261" s="220" t="str">
        <f t="shared" si="320"/>
        <v/>
      </c>
    </row>
    <row r="2262" spans="1:28" s="219" customFormat="1" ht="20.25">
      <c r="A2262" s="174"/>
      <c r="B2262" s="175" t="str">
        <f>IF(LEN(A2262)=0,"",INDEX('Smelter Look-up'!$A:$A,MATCH($A2262,'Smelter Look-up'!$E:$E,0)))</f>
        <v/>
      </c>
      <c r="C2262" s="179" t="str">
        <f>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318"/>
        <v/>
      </c>
      <c r="T2262" s="174" t="str">
        <f ca="1">IF(B2262="","",IF(ISERROR(MATCH($J2262,SorP!$B$1:$B$6279,0)),"",INDIRECT("'SorP'!$A$"&amp;MATCH($S2262&amp;$J2262,SorP!C:C,0))))</f>
        <v/>
      </c>
      <c r="U2262" s="194"/>
      <c r="V2262" s="218" t="e">
        <f>IF(C2262="",NA(),IF(OR(C2262="Smelter not listed",C2262="Smelter not yet identified"),MATCH($B2262&amp;$D2262,'Smelter Look-up'!$J:$J,0),MATCH($B2262&amp;$C2262,'Smelter Look-up'!$J:$J,0)))</f>
        <v>#N/A</v>
      </c>
      <c r="X2262" s="219">
        <f t="shared" ca="1" si="319"/>
        <v>0</v>
      </c>
      <c r="AB2262" s="220" t="str">
        <f t="shared" si="320"/>
        <v/>
      </c>
    </row>
    <row r="2263" spans="1:28" s="219" customFormat="1" ht="20.25">
      <c r="A2263" s="174"/>
      <c r="B2263" s="175" t="str">
        <f>IF(LEN(A2263)=0,"",INDEX('Smelter Look-up'!$A:$A,MATCH($A2263,'Smelter Look-up'!$E:$E,0)))</f>
        <v/>
      </c>
      <c r="C2263" s="179" t="str">
        <f>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318"/>
        <v/>
      </c>
      <c r="T2263" s="174" t="str">
        <f ca="1">IF(B2263="","",IF(ISERROR(MATCH($J2263,SorP!$B$1:$B$6279,0)),"",INDIRECT("'SorP'!$A$"&amp;MATCH($S2263&amp;$J2263,SorP!C:C,0))))</f>
        <v/>
      </c>
      <c r="U2263" s="194"/>
      <c r="V2263" s="218" t="e">
        <f>IF(C2263="",NA(),IF(OR(C2263="Smelter not listed",C2263="Smelter not yet identified"),MATCH($B2263&amp;$D2263,'Smelter Look-up'!$J:$J,0),MATCH($B2263&amp;$C2263,'Smelter Look-up'!$J:$J,0)))</f>
        <v>#N/A</v>
      </c>
      <c r="X2263" s="219">
        <f t="shared" ca="1" si="319"/>
        <v>0</v>
      </c>
      <c r="AB2263" s="220" t="str">
        <f t="shared" si="320"/>
        <v/>
      </c>
    </row>
    <row r="2264" spans="1:28" s="219" customFormat="1" ht="20.25">
      <c r="A2264" s="174"/>
      <c r="B2264" s="175" t="str">
        <f>IF(LEN(A2264)=0,"",INDEX('Smelter Look-up'!$A:$A,MATCH($A2264,'Smelter Look-up'!$E:$E,0)))</f>
        <v/>
      </c>
      <c r="C2264" s="179" t="str">
        <f>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318"/>
        <v/>
      </c>
      <c r="T2264" s="174" t="str">
        <f ca="1">IF(B2264="","",IF(ISERROR(MATCH($J2264,SorP!$B$1:$B$6279,0)),"",INDIRECT("'SorP'!$A$"&amp;MATCH($S2264&amp;$J2264,SorP!C:C,0))))</f>
        <v/>
      </c>
      <c r="U2264" s="194"/>
      <c r="V2264" s="218" t="e">
        <f>IF(C2264="",NA(),IF(OR(C2264="Smelter not listed",C2264="Smelter not yet identified"),MATCH($B2264&amp;$D2264,'Smelter Look-up'!$J:$J,0),MATCH($B2264&amp;$C2264,'Smelter Look-up'!$J:$J,0)))</f>
        <v>#N/A</v>
      </c>
      <c r="X2264" s="219">
        <f t="shared" ca="1" si="319"/>
        <v>0</v>
      </c>
      <c r="AB2264" s="220" t="str">
        <f t="shared" si="320"/>
        <v/>
      </c>
    </row>
    <row r="2265" spans="1:28" s="219" customFormat="1" ht="20.25">
      <c r="A2265" s="174"/>
      <c r="B2265" s="175" t="str">
        <f>IF(LEN(A2265)=0,"",INDEX('Smelter Look-up'!$A:$A,MATCH($A2265,'Smelter Look-up'!$E:$E,0)))</f>
        <v/>
      </c>
      <c r="C2265" s="179" t="str">
        <f>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318"/>
        <v/>
      </c>
      <c r="T2265" s="174" t="str">
        <f ca="1">IF(B2265="","",IF(ISERROR(MATCH($J2265,SorP!$B$1:$B$6279,0)),"",INDIRECT("'SorP'!$A$"&amp;MATCH($S2265&amp;$J2265,SorP!C:C,0))))</f>
        <v/>
      </c>
      <c r="U2265" s="194"/>
      <c r="V2265" s="218" t="e">
        <f>IF(C2265="",NA(),IF(OR(C2265="Smelter not listed",C2265="Smelter not yet identified"),MATCH($B2265&amp;$D2265,'Smelter Look-up'!$J:$J,0),MATCH($B2265&amp;$C2265,'Smelter Look-up'!$J:$J,0)))</f>
        <v>#N/A</v>
      </c>
      <c r="X2265" s="219">
        <f t="shared" ca="1" si="319"/>
        <v>0</v>
      </c>
      <c r="AB2265" s="220" t="str">
        <f t="shared" si="320"/>
        <v/>
      </c>
    </row>
    <row r="2266" spans="1:28" s="219" customFormat="1" ht="20.25">
      <c r="A2266" s="174"/>
      <c r="B2266" s="175" t="str">
        <f>IF(LEN(A2266)=0,"",INDEX('Smelter Look-up'!$A:$A,MATCH($A2266,'Smelter Look-up'!$E:$E,0)))</f>
        <v/>
      </c>
      <c r="C2266" s="179" t="str">
        <f>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ca="1" si="318"/>
        <v/>
      </c>
      <c r="T2266" s="174" t="str">
        <f ca="1">IF(B2266="","",IF(ISERROR(MATCH($J2266,SorP!$B$1:$B$6279,0)),"",INDIRECT("'SorP'!$A$"&amp;MATCH($S2266&amp;$J2266,SorP!C:C,0))))</f>
        <v/>
      </c>
      <c r="U2266" s="194"/>
      <c r="V2266" s="218" t="e">
        <f>IF(C2266="",NA(),IF(OR(C2266="Smelter not listed",C2266="Smelter not yet identified"),MATCH($B2266&amp;$D2266,'Smelter Look-up'!$J:$J,0),MATCH($B2266&amp;$C2266,'Smelter Look-up'!$J:$J,0)))</f>
        <v>#N/A</v>
      </c>
      <c r="X2266" s="219">
        <f t="shared" ca="1" si="319"/>
        <v>0</v>
      </c>
      <c r="AB2266" s="220" t="str">
        <f t="shared" si="320"/>
        <v/>
      </c>
    </row>
    <row r="2267" spans="1:28" s="219" customFormat="1" ht="20.25">
      <c r="A2267" s="174"/>
      <c r="B2267" s="175" t="str">
        <f>IF(LEN(A2267)=0,"",INDEX('Smelter Look-up'!$A:$A,MATCH($A2267,'Smelter Look-up'!$E:$E,0)))</f>
        <v/>
      </c>
      <c r="C2267" s="179" t="str">
        <f>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ca="1" si="318"/>
        <v/>
      </c>
      <c r="T2267" s="174" t="str">
        <f ca="1">IF(B2267="","",IF(ISERROR(MATCH($J2267,SorP!$B$1:$B$6279,0)),"",INDIRECT("'SorP'!$A$"&amp;MATCH($S2267&amp;$J2267,SorP!C:C,0))))</f>
        <v/>
      </c>
      <c r="U2267" s="194"/>
      <c r="V2267" s="218" t="e">
        <f>IF(C2267="",NA(),IF(OR(C2267="Smelter not listed",C2267="Smelter not yet identified"),MATCH($B2267&amp;$D2267,'Smelter Look-up'!$J:$J,0),MATCH($B2267&amp;$C2267,'Smelter Look-up'!$J:$J,0)))</f>
        <v>#N/A</v>
      </c>
      <c r="X2267" s="219">
        <f t="shared" ca="1" si="319"/>
        <v>0</v>
      </c>
      <c r="AB2267" s="220" t="str">
        <f t="shared" si="320"/>
        <v/>
      </c>
    </row>
    <row r="2268" spans="1:28" s="219" customFormat="1" ht="20.25">
      <c r="A2268" s="174"/>
      <c r="B2268" s="175" t="str">
        <f>IF(LEN(A2268)=0,"",INDEX('Smelter Look-up'!$A:$A,MATCH($A2268,'Smelter Look-up'!$E:$E,0)))</f>
        <v/>
      </c>
      <c r="C2268" s="179" t="str">
        <f>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ref="S2268:S2298" ca="1" si="321">IF(B2268="","",IF(ISERROR(MATCH($E2268,CL,0)),"Unknown",INDIRECT("'C'!$A$"&amp;MATCH($E2268,CL,0)+1)))</f>
        <v/>
      </c>
      <c r="T2268" s="174" t="str">
        <f ca="1">IF(B2268="","",IF(ISERROR(MATCH($J2268,SorP!$B$1:$B$6279,0)),"",INDIRECT("'SorP'!$A$"&amp;MATCH($S2268&amp;$J2268,SorP!C:C,0))))</f>
        <v/>
      </c>
      <c r="U2268" s="194"/>
      <c r="V2268" s="218" t="e">
        <f>IF(C2268="",NA(),IF(OR(C2268="Smelter not listed",C2268="Smelter not yet identified"),MATCH($B2268&amp;$D2268,'Smelter Look-up'!$J:$J,0),MATCH($B2268&amp;$C2268,'Smelter Look-up'!$J:$J,0)))</f>
        <v>#N/A</v>
      </c>
      <c r="X2268" s="219">
        <f t="shared" ref="X2268:X2298" ca="1" si="322">IF(AND(C2268="Smelter not listed",OR(LEN(D2268)=0,LEN(E2268)=0)),1,0)</f>
        <v>0</v>
      </c>
      <c r="AB2268" s="220" t="str">
        <f t="shared" ref="AB2268:AB2298" si="323">B2268&amp;C2268</f>
        <v/>
      </c>
    </row>
    <row r="2269" spans="1:28" s="219" customFormat="1" ht="20.25">
      <c r="A2269" s="174"/>
      <c r="B2269" s="175" t="str">
        <f>IF(LEN(A2269)=0,"",INDEX('Smelter Look-up'!$A:$A,MATCH($A2269,'Smelter Look-up'!$E:$E,0)))</f>
        <v/>
      </c>
      <c r="C2269" s="179" t="str">
        <f>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321"/>
        <v/>
      </c>
      <c r="T2269" s="174" t="str">
        <f ca="1">IF(B2269="","",IF(ISERROR(MATCH($J2269,SorP!$B$1:$B$6279,0)),"",INDIRECT("'SorP'!$A$"&amp;MATCH($S2269&amp;$J2269,SorP!C:C,0))))</f>
        <v/>
      </c>
      <c r="U2269" s="194"/>
      <c r="V2269" s="218" t="e">
        <f>IF(C2269="",NA(),IF(OR(C2269="Smelter not listed",C2269="Smelter not yet identified"),MATCH($B2269&amp;$D2269,'Smelter Look-up'!$J:$J,0),MATCH($B2269&amp;$C2269,'Smelter Look-up'!$J:$J,0)))</f>
        <v>#N/A</v>
      </c>
      <c r="X2269" s="219">
        <f t="shared" ca="1" si="322"/>
        <v>0</v>
      </c>
      <c r="AB2269" s="220" t="str">
        <f t="shared" si="323"/>
        <v/>
      </c>
    </row>
    <row r="2270" spans="1:28" s="219" customFormat="1" ht="20.25">
      <c r="A2270" s="174"/>
      <c r="B2270" s="175" t="str">
        <f>IF(LEN(A2270)=0,"",INDEX('Smelter Look-up'!$A:$A,MATCH($A2270,'Smelter Look-up'!$E:$E,0)))</f>
        <v/>
      </c>
      <c r="C2270" s="179" t="str">
        <f>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321"/>
        <v/>
      </c>
      <c r="T2270" s="174" t="str">
        <f ca="1">IF(B2270="","",IF(ISERROR(MATCH($J2270,SorP!$B$1:$B$6279,0)),"",INDIRECT("'SorP'!$A$"&amp;MATCH($S2270&amp;$J2270,SorP!C:C,0))))</f>
        <v/>
      </c>
      <c r="U2270" s="194"/>
      <c r="V2270" s="218" t="e">
        <f>IF(C2270="",NA(),IF(OR(C2270="Smelter not listed",C2270="Smelter not yet identified"),MATCH($B2270&amp;$D2270,'Smelter Look-up'!$J:$J,0),MATCH($B2270&amp;$C2270,'Smelter Look-up'!$J:$J,0)))</f>
        <v>#N/A</v>
      </c>
      <c r="X2270" s="219">
        <f t="shared" ca="1" si="322"/>
        <v>0</v>
      </c>
      <c r="AB2270" s="220" t="str">
        <f t="shared" si="323"/>
        <v/>
      </c>
    </row>
    <row r="2271" spans="1:28" s="219" customFormat="1" ht="20.25">
      <c r="A2271" s="174"/>
      <c r="B2271" s="175" t="str">
        <f>IF(LEN(A2271)=0,"",INDEX('Smelter Look-up'!$A:$A,MATCH($A2271,'Smelter Look-up'!$E:$E,0)))</f>
        <v/>
      </c>
      <c r="C2271" s="179" t="str">
        <f>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321"/>
        <v/>
      </c>
      <c r="T2271" s="174" t="str">
        <f ca="1">IF(B2271="","",IF(ISERROR(MATCH($J2271,SorP!$B$1:$B$6279,0)),"",INDIRECT("'SorP'!$A$"&amp;MATCH($S2271&amp;$J2271,SorP!C:C,0))))</f>
        <v/>
      </c>
      <c r="U2271" s="194"/>
      <c r="V2271" s="218" t="e">
        <f>IF(C2271="",NA(),IF(OR(C2271="Smelter not listed",C2271="Smelter not yet identified"),MATCH($B2271&amp;$D2271,'Smelter Look-up'!$J:$J,0),MATCH($B2271&amp;$C2271,'Smelter Look-up'!$J:$J,0)))</f>
        <v>#N/A</v>
      </c>
      <c r="X2271" s="219">
        <f t="shared" ca="1" si="322"/>
        <v>0</v>
      </c>
      <c r="AB2271" s="220" t="str">
        <f t="shared" si="323"/>
        <v/>
      </c>
    </row>
    <row r="2272" spans="1:28" s="219" customFormat="1" ht="20.25">
      <c r="A2272" s="174"/>
      <c r="B2272" s="175" t="str">
        <f>IF(LEN(A2272)=0,"",INDEX('Smelter Look-up'!$A:$A,MATCH($A2272,'Smelter Look-up'!$E:$E,0)))</f>
        <v/>
      </c>
      <c r="C2272" s="179" t="str">
        <f>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321"/>
        <v/>
      </c>
      <c r="T2272" s="174" t="str">
        <f ca="1">IF(B2272="","",IF(ISERROR(MATCH($J2272,SorP!$B$1:$B$6279,0)),"",INDIRECT("'SorP'!$A$"&amp;MATCH($S2272&amp;$J2272,SorP!C:C,0))))</f>
        <v/>
      </c>
      <c r="U2272" s="194"/>
      <c r="V2272" s="218" t="e">
        <f>IF(C2272="",NA(),IF(OR(C2272="Smelter not listed",C2272="Smelter not yet identified"),MATCH($B2272&amp;$D2272,'Smelter Look-up'!$J:$J,0),MATCH($B2272&amp;$C2272,'Smelter Look-up'!$J:$J,0)))</f>
        <v>#N/A</v>
      </c>
      <c r="X2272" s="219">
        <f t="shared" ca="1" si="322"/>
        <v>0</v>
      </c>
      <c r="AB2272" s="220" t="str">
        <f t="shared" si="323"/>
        <v/>
      </c>
    </row>
    <row r="2273" spans="1:28" s="219" customFormat="1" ht="20.25">
      <c r="A2273" s="174"/>
      <c r="B2273" s="175" t="str">
        <f>IF(LEN(A2273)=0,"",INDEX('Smelter Look-up'!$A:$A,MATCH($A2273,'Smelter Look-up'!$E:$E,0)))</f>
        <v/>
      </c>
      <c r="C2273" s="179" t="str">
        <f>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321"/>
        <v/>
      </c>
      <c r="T2273" s="174" t="str">
        <f ca="1">IF(B2273="","",IF(ISERROR(MATCH($J2273,SorP!$B$1:$B$6279,0)),"",INDIRECT("'SorP'!$A$"&amp;MATCH($S2273&amp;$J2273,SorP!C:C,0))))</f>
        <v/>
      </c>
      <c r="U2273" s="194"/>
      <c r="V2273" s="218" t="e">
        <f>IF(C2273="",NA(),IF(OR(C2273="Smelter not listed",C2273="Smelter not yet identified"),MATCH($B2273&amp;$D2273,'Smelter Look-up'!$J:$J,0),MATCH($B2273&amp;$C2273,'Smelter Look-up'!$J:$J,0)))</f>
        <v>#N/A</v>
      </c>
      <c r="X2273" s="219">
        <f t="shared" ca="1" si="322"/>
        <v>0</v>
      </c>
      <c r="AB2273" s="220" t="str">
        <f t="shared" si="323"/>
        <v/>
      </c>
    </row>
    <row r="2274" spans="1:28" s="219" customFormat="1" ht="20.25">
      <c r="A2274" s="174"/>
      <c r="B2274" s="175" t="str">
        <f>IF(LEN(A2274)=0,"",INDEX('Smelter Look-up'!$A:$A,MATCH($A2274,'Smelter Look-up'!$E:$E,0)))</f>
        <v/>
      </c>
      <c r="C2274" s="179" t="str">
        <f>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321"/>
        <v/>
      </c>
      <c r="T2274" s="174" t="str">
        <f ca="1">IF(B2274="","",IF(ISERROR(MATCH($J2274,SorP!$B$1:$B$6279,0)),"",INDIRECT("'SorP'!$A$"&amp;MATCH($S2274&amp;$J2274,SorP!C:C,0))))</f>
        <v/>
      </c>
      <c r="U2274" s="194"/>
      <c r="V2274" s="218" t="e">
        <f>IF(C2274="",NA(),IF(OR(C2274="Smelter not listed",C2274="Smelter not yet identified"),MATCH($B2274&amp;$D2274,'Smelter Look-up'!$J:$J,0),MATCH($B2274&amp;$C2274,'Smelter Look-up'!$J:$J,0)))</f>
        <v>#N/A</v>
      </c>
      <c r="X2274" s="219">
        <f t="shared" ca="1" si="322"/>
        <v>0</v>
      </c>
      <c r="AB2274" s="220" t="str">
        <f t="shared" si="323"/>
        <v/>
      </c>
    </row>
    <row r="2275" spans="1:28" s="219" customFormat="1" ht="20.25">
      <c r="A2275" s="174"/>
      <c r="B2275" s="175" t="str">
        <f>IF(LEN(A2275)=0,"",INDEX('Smelter Look-up'!$A:$A,MATCH($A2275,'Smelter Look-up'!$E:$E,0)))</f>
        <v/>
      </c>
      <c r="C2275" s="179" t="str">
        <f>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321"/>
        <v/>
      </c>
      <c r="T2275" s="174" t="str">
        <f ca="1">IF(B2275="","",IF(ISERROR(MATCH($J2275,SorP!$B$1:$B$6279,0)),"",INDIRECT("'SorP'!$A$"&amp;MATCH($S2275&amp;$J2275,SorP!C:C,0))))</f>
        <v/>
      </c>
      <c r="U2275" s="194"/>
      <c r="V2275" s="218" t="e">
        <f>IF(C2275="",NA(),IF(OR(C2275="Smelter not listed",C2275="Smelter not yet identified"),MATCH($B2275&amp;$D2275,'Smelter Look-up'!$J:$J,0),MATCH($B2275&amp;$C2275,'Smelter Look-up'!$J:$J,0)))</f>
        <v>#N/A</v>
      </c>
      <c r="X2275" s="219">
        <f t="shared" ca="1" si="322"/>
        <v>0</v>
      </c>
      <c r="AB2275" s="220" t="str">
        <f t="shared" si="323"/>
        <v/>
      </c>
    </row>
    <row r="2276" spans="1:28" s="219" customFormat="1" ht="20.25">
      <c r="A2276" s="174"/>
      <c r="B2276" s="175" t="str">
        <f>IF(LEN(A2276)=0,"",INDEX('Smelter Look-up'!$A:$A,MATCH($A2276,'Smelter Look-up'!$E:$E,0)))</f>
        <v/>
      </c>
      <c r="C2276" s="179" t="str">
        <f>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321"/>
        <v/>
      </c>
      <c r="T2276" s="174" t="str">
        <f ca="1">IF(B2276="","",IF(ISERROR(MATCH($J2276,SorP!$B$1:$B$6279,0)),"",INDIRECT("'SorP'!$A$"&amp;MATCH($S2276&amp;$J2276,SorP!C:C,0))))</f>
        <v/>
      </c>
      <c r="U2276" s="194"/>
      <c r="V2276" s="218" t="e">
        <f>IF(C2276="",NA(),IF(OR(C2276="Smelter not listed",C2276="Smelter not yet identified"),MATCH($B2276&amp;$D2276,'Smelter Look-up'!$J:$J,0),MATCH($B2276&amp;$C2276,'Smelter Look-up'!$J:$J,0)))</f>
        <v>#N/A</v>
      </c>
      <c r="X2276" s="219">
        <f t="shared" ca="1" si="322"/>
        <v>0</v>
      </c>
      <c r="AB2276" s="220" t="str">
        <f t="shared" si="323"/>
        <v/>
      </c>
    </row>
    <row r="2277" spans="1:28" s="219" customFormat="1" ht="20.25">
      <c r="A2277" s="174"/>
      <c r="B2277" s="175" t="str">
        <f>IF(LEN(A2277)=0,"",INDEX('Smelter Look-up'!$A:$A,MATCH($A2277,'Smelter Look-up'!$E:$E,0)))</f>
        <v/>
      </c>
      <c r="C2277" s="179" t="str">
        <f>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321"/>
        <v/>
      </c>
      <c r="T2277" s="174" t="str">
        <f ca="1">IF(B2277="","",IF(ISERROR(MATCH($J2277,SorP!$B$1:$B$6279,0)),"",INDIRECT("'SorP'!$A$"&amp;MATCH($S2277&amp;$J2277,SorP!C:C,0))))</f>
        <v/>
      </c>
      <c r="U2277" s="194"/>
      <c r="V2277" s="218" t="e">
        <f>IF(C2277="",NA(),IF(OR(C2277="Smelter not listed",C2277="Smelter not yet identified"),MATCH($B2277&amp;$D2277,'Smelter Look-up'!$J:$J,0),MATCH($B2277&amp;$C2277,'Smelter Look-up'!$J:$J,0)))</f>
        <v>#N/A</v>
      </c>
      <c r="X2277" s="219">
        <f t="shared" ca="1" si="322"/>
        <v>0</v>
      </c>
      <c r="AB2277" s="220" t="str">
        <f t="shared" si="323"/>
        <v/>
      </c>
    </row>
    <row r="2278" spans="1:28" s="219" customFormat="1" ht="20.25">
      <c r="A2278" s="174"/>
      <c r="B2278" s="175" t="str">
        <f>IF(LEN(A2278)=0,"",INDEX('Smelter Look-up'!$A:$A,MATCH($A2278,'Smelter Look-up'!$E:$E,0)))</f>
        <v/>
      </c>
      <c r="C2278" s="179" t="str">
        <f>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321"/>
        <v/>
      </c>
      <c r="T2278" s="174" t="str">
        <f ca="1">IF(B2278="","",IF(ISERROR(MATCH($J2278,SorP!$B$1:$B$6279,0)),"",INDIRECT("'SorP'!$A$"&amp;MATCH($S2278&amp;$J2278,SorP!C:C,0))))</f>
        <v/>
      </c>
      <c r="U2278" s="194"/>
      <c r="V2278" s="218" t="e">
        <f>IF(C2278="",NA(),IF(OR(C2278="Smelter not listed",C2278="Smelter not yet identified"),MATCH($B2278&amp;$D2278,'Smelter Look-up'!$J:$J,0),MATCH($B2278&amp;$C2278,'Smelter Look-up'!$J:$J,0)))</f>
        <v>#N/A</v>
      </c>
      <c r="X2278" s="219">
        <f t="shared" ca="1" si="322"/>
        <v>0</v>
      </c>
      <c r="AB2278" s="220" t="str">
        <f t="shared" si="323"/>
        <v/>
      </c>
    </row>
    <row r="2279" spans="1:28" s="219" customFormat="1" ht="20.25">
      <c r="A2279" s="174"/>
      <c r="B2279" s="175" t="str">
        <f>IF(LEN(A2279)=0,"",INDEX('Smelter Look-up'!$A:$A,MATCH($A2279,'Smelter Look-up'!$E:$E,0)))</f>
        <v/>
      </c>
      <c r="C2279" s="179" t="str">
        <f>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321"/>
        <v/>
      </c>
      <c r="T2279" s="174" t="str">
        <f ca="1">IF(B2279="","",IF(ISERROR(MATCH($J2279,SorP!$B$1:$B$6279,0)),"",INDIRECT("'SorP'!$A$"&amp;MATCH($S2279&amp;$J2279,SorP!C:C,0))))</f>
        <v/>
      </c>
      <c r="U2279" s="194"/>
      <c r="V2279" s="218" t="e">
        <f>IF(C2279="",NA(),IF(OR(C2279="Smelter not listed",C2279="Smelter not yet identified"),MATCH($B2279&amp;$D2279,'Smelter Look-up'!$J:$J,0),MATCH($B2279&amp;$C2279,'Smelter Look-up'!$J:$J,0)))</f>
        <v>#N/A</v>
      </c>
      <c r="X2279" s="219">
        <f t="shared" ca="1" si="322"/>
        <v>0</v>
      </c>
      <c r="AB2279" s="220" t="str">
        <f t="shared" si="323"/>
        <v/>
      </c>
    </row>
    <row r="2280" spans="1:28" s="219" customFormat="1" ht="20.25">
      <c r="A2280" s="174"/>
      <c r="B2280" s="175" t="str">
        <f>IF(LEN(A2280)=0,"",INDEX('Smelter Look-up'!$A:$A,MATCH($A2280,'Smelter Look-up'!$E:$E,0)))</f>
        <v/>
      </c>
      <c r="C2280" s="179" t="str">
        <f>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321"/>
        <v/>
      </c>
      <c r="T2280" s="174" t="str">
        <f ca="1">IF(B2280="","",IF(ISERROR(MATCH($J2280,SorP!$B$1:$B$6279,0)),"",INDIRECT("'SorP'!$A$"&amp;MATCH($S2280&amp;$J2280,SorP!C:C,0))))</f>
        <v/>
      </c>
      <c r="U2280" s="194"/>
      <c r="V2280" s="218" t="e">
        <f>IF(C2280="",NA(),IF(OR(C2280="Smelter not listed",C2280="Smelter not yet identified"),MATCH($B2280&amp;$D2280,'Smelter Look-up'!$J:$J,0),MATCH($B2280&amp;$C2280,'Smelter Look-up'!$J:$J,0)))</f>
        <v>#N/A</v>
      </c>
      <c r="X2280" s="219">
        <f t="shared" ca="1" si="322"/>
        <v>0</v>
      </c>
      <c r="AB2280" s="220" t="str">
        <f t="shared" si="323"/>
        <v/>
      </c>
    </row>
    <row r="2281" spans="1:28" s="219" customFormat="1" ht="20.25">
      <c r="A2281" s="174"/>
      <c r="B2281" s="175" t="str">
        <f>IF(LEN(A2281)=0,"",INDEX('Smelter Look-up'!$A:$A,MATCH($A2281,'Smelter Look-up'!$E:$E,0)))</f>
        <v/>
      </c>
      <c r="C2281" s="179" t="str">
        <f>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321"/>
        <v/>
      </c>
      <c r="T2281" s="174" t="str">
        <f ca="1">IF(B2281="","",IF(ISERROR(MATCH($J2281,SorP!$B$1:$B$6279,0)),"",INDIRECT("'SorP'!$A$"&amp;MATCH($S2281&amp;$J2281,SorP!C:C,0))))</f>
        <v/>
      </c>
      <c r="U2281" s="194"/>
      <c r="V2281" s="218" t="e">
        <f>IF(C2281="",NA(),IF(OR(C2281="Smelter not listed",C2281="Smelter not yet identified"),MATCH($B2281&amp;$D2281,'Smelter Look-up'!$J:$J,0),MATCH($B2281&amp;$C2281,'Smelter Look-up'!$J:$J,0)))</f>
        <v>#N/A</v>
      </c>
      <c r="X2281" s="219">
        <f t="shared" ca="1" si="322"/>
        <v>0</v>
      </c>
      <c r="AB2281" s="220" t="str">
        <f t="shared" si="323"/>
        <v/>
      </c>
    </row>
    <row r="2282" spans="1:28" s="219" customFormat="1" ht="20.25">
      <c r="A2282" s="174"/>
      <c r="B2282" s="175" t="str">
        <f>IF(LEN(A2282)=0,"",INDEX('Smelter Look-up'!$A:$A,MATCH($A2282,'Smelter Look-up'!$E:$E,0)))</f>
        <v/>
      </c>
      <c r="C2282" s="179" t="str">
        <f>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321"/>
        <v/>
      </c>
      <c r="T2282" s="174" t="str">
        <f ca="1">IF(B2282="","",IF(ISERROR(MATCH($J2282,SorP!$B$1:$B$6279,0)),"",INDIRECT("'SorP'!$A$"&amp;MATCH($S2282&amp;$J2282,SorP!C:C,0))))</f>
        <v/>
      </c>
      <c r="U2282" s="194"/>
      <c r="V2282" s="218" t="e">
        <f>IF(C2282="",NA(),IF(OR(C2282="Smelter not listed",C2282="Smelter not yet identified"),MATCH($B2282&amp;$D2282,'Smelter Look-up'!$J:$J,0),MATCH($B2282&amp;$C2282,'Smelter Look-up'!$J:$J,0)))</f>
        <v>#N/A</v>
      </c>
      <c r="X2282" s="219">
        <f t="shared" ca="1" si="322"/>
        <v>0</v>
      </c>
      <c r="AB2282" s="220" t="str">
        <f t="shared" si="323"/>
        <v/>
      </c>
    </row>
    <row r="2283" spans="1:28" s="219" customFormat="1" ht="20.25">
      <c r="A2283" s="174"/>
      <c r="B2283" s="175" t="str">
        <f>IF(LEN(A2283)=0,"",INDEX('Smelter Look-up'!$A:$A,MATCH($A2283,'Smelter Look-up'!$E:$E,0)))</f>
        <v/>
      </c>
      <c r="C2283" s="179" t="str">
        <f>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321"/>
        <v/>
      </c>
      <c r="T2283" s="174" t="str">
        <f ca="1">IF(B2283="","",IF(ISERROR(MATCH($J2283,SorP!$B$1:$B$6279,0)),"",INDIRECT("'SorP'!$A$"&amp;MATCH($S2283&amp;$J2283,SorP!C:C,0))))</f>
        <v/>
      </c>
      <c r="U2283" s="194"/>
      <c r="V2283" s="218" t="e">
        <f>IF(C2283="",NA(),IF(OR(C2283="Smelter not listed",C2283="Smelter not yet identified"),MATCH($B2283&amp;$D2283,'Smelter Look-up'!$J:$J,0),MATCH($B2283&amp;$C2283,'Smelter Look-up'!$J:$J,0)))</f>
        <v>#N/A</v>
      </c>
      <c r="X2283" s="219">
        <f t="shared" ca="1" si="322"/>
        <v>0</v>
      </c>
      <c r="AB2283" s="220" t="str">
        <f t="shared" si="323"/>
        <v/>
      </c>
    </row>
    <row r="2284" spans="1:28" s="219" customFormat="1" ht="20.25">
      <c r="A2284" s="174"/>
      <c r="B2284" s="175" t="str">
        <f>IF(LEN(A2284)=0,"",INDEX('Smelter Look-up'!$A:$A,MATCH($A2284,'Smelter Look-up'!$E:$E,0)))</f>
        <v/>
      </c>
      <c r="C2284" s="179" t="str">
        <f>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321"/>
        <v/>
      </c>
      <c r="T2284" s="174" t="str">
        <f ca="1">IF(B2284="","",IF(ISERROR(MATCH($J2284,SorP!$B$1:$B$6279,0)),"",INDIRECT("'SorP'!$A$"&amp;MATCH($S2284&amp;$J2284,SorP!C:C,0))))</f>
        <v/>
      </c>
      <c r="U2284" s="194"/>
      <c r="V2284" s="218" t="e">
        <f>IF(C2284="",NA(),IF(OR(C2284="Smelter not listed",C2284="Smelter not yet identified"),MATCH($B2284&amp;$D2284,'Smelter Look-up'!$J:$J,0),MATCH($B2284&amp;$C2284,'Smelter Look-up'!$J:$J,0)))</f>
        <v>#N/A</v>
      </c>
      <c r="X2284" s="219">
        <f t="shared" ca="1" si="322"/>
        <v>0</v>
      </c>
      <c r="AB2284" s="220" t="str">
        <f t="shared" si="323"/>
        <v/>
      </c>
    </row>
    <row r="2285" spans="1:28" s="219" customFormat="1" ht="20.25">
      <c r="A2285" s="174"/>
      <c r="B2285" s="175" t="str">
        <f>IF(LEN(A2285)=0,"",INDEX('Smelter Look-up'!$A:$A,MATCH($A2285,'Smelter Look-up'!$E:$E,0)))</f>
        <v/>
      </c>
      <c r="C2285" s="179" t="str">
        <f>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321"/>
        <v/>
      </c>
      <c r="T2285" s="174" t="str">
        <f ca="1">IF(B2285="","",IF(ISERROR(MATCH($J2285,SorP!$B$1:$B$6279,0)),"",INDIRECT("'SorP'!$A$"&amp;MATCH($S2285&amp;$J2285,SorP!C:C,0))))</f>
        <v/>
      </c>
      <c r="U2285" s="194"/>
      <c r="V2285" s="218" t="e">
        <f>IF(C2285="",NA(),IF(OR(C2285="Smelter not listed",C2285="Smelter not yet identified"),MATCH($B2285&amp;$D2285,'Smelter Look-up'!$J:$J,0),MATCH($B2285&amp;$C2285,'Smelter Look-up'!$J:$J,0)))</f>
        <v>#N/A</v>
      </c>
      <c r="X2285" s="219">
        <f t="shared" ca="1" si="322"/>
        <v>0</v>
      </c>
      <c r="AB2285" s="220" t="str">
        <f t="shared" si="323"/>
        <v/>
      </c>
    </row>
    <row r="2286" spans="1:28" s="219" customFormat="1" ht="20.25">
      <c r="A2286" s="174"/>
      <c r="B2286" s="175" t="str">
        <f>IF(LEN(A2286)=0,"",INDEX('Smelter Look-up'!$A:$A,MATCH($A2286,'Smelter Look-up'!$E:$E,0)))</f>
        <v/>
      </c>
      <c r="C2286" s="179" t="str">
        <f>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321"/>
        <v/>
      </c>
      <c r="T2286" s="174" t="str">
        <f ca="1">IF(B2286="","",IF(ISERROR(MATCH($J2286,SorP!$B$1:$B$6279,0)),"",INDIRECT("'SorP'!$A$"&amp;MATCH($S2286&amp;$J2286,SorP!C:C,0))))</f>
        <v/>
      </c>
      <c r="U2286" s="194"/>
      <c r="V2286" s="218" t="e">
        <f>IF(C2286="",NA(),IF(OR(C2286="Smelter not listed",C2286="Smelter not yet identified"),MATCH($B2286&amp;$D2286,'Smelter Look-up'!$J:$J,0),MATCH($B2286&amp;$C2286,'Smelter Look-up'!$J:$J,0)))</f>
        <v>#N/A</v>
      </c>
      <c r="X2286" s="219">
        <f t="shared" ca="1" si="322"/>
        <v>0</v>
      </c>
      <c r="AB2286" s="220" t="str">
        <f t="shared" si="323"/>
        <v/>
      </c>
    </row>
    <row r="2287" spans="1:28" s="219" customFormat="1" ht="20.25">
      <c r="A2287" s="174"/>
      <c r="B2287" s="175" t="str">
        <f>IF(LEN(A2287)=0,"",INDEX('Smelter Look-up'!$A:$A,MATCH($A2287,'Smelter Look-up'!$E:$E,0)))</f>
        <v/>
      </c>
      <c r="C2287" s="179" t="str">
        <f>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321"/>
        <v/>
      </c>
      <c r="T2287" s="174" t="str">
        <f ca="1">IF(B2287="","",IF(ISERROR(MATCH($J2287,SorP!$B$1:$B$6279,0)),"",INDIRECT("'SorP'!$A$"&amp;MATCH($S2287&amp;$J2287,SorP!C:C,0))))</f>
        <v/>
      </c>
      <c r="U2287" s="194"/>
      <c r="V2287" s="218" t="e">
        <f>IF(C2287="",NA(),IF(OR(C2287="Smelter not listed",C2287="Smelter not yet identified"),MATCH($B2287&amp;$D2287,'Smelter Look-up'!$J:$J,0),MATCH($B2287&amp;$C2287,'Smelter Look-up'!$J:$J,0)))</f>
        <v>#N/A</v>
      </c>
      <c r="X2287" s="219">
        <f t="shared" ca="1" si="322"/>
        <v>0</v>
      </c>
      <c r="AB2287" s="220" t="str">
        <f t="shared" si="323"/>
        <v/>
      </c>
    </row>
    <row r="2288" spans="1:28" s="219" customFormat="1" ht="20.25">
      <c r="A2288" s="174"/>
      <c r="B2288" s="175" t="str">
        <f>IF(LEN(A2288)=0,"",INDEX('Smelter Look-up'!$A:$A,MATCH($A2288,'Smelter Look-up'!$E:$E,0)))</f>
        <v/>
      </c>
      <c r="C2288" s="179" t="str">
        <f>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321"/>
        <v/>
      </c>
      <c r="T2288" s="174" t="str">
        <f ca="1">IF(B2288="","",IF(ISERROR(MATCH($J2288,SorP!$B$1:$B$6279,0)),"",INDIRECT("'SorP'!$A$"&amp;MATCH($S2288&amp;$J2288,SorP!C:C,0))))</f>
        <v/>
      </c>
      <c r="U2288" s="194"/>
      <c r="V2288" s="218" t="e">
        <f>IF(C2288="",NA(),IF(OR(C2288="Smelter not listed",C2288="Smelter not yet identified"),MATCH($B2288&amp;$D2288,'Smelter Look-up'!$J:$J,0),MATCH($B2288&amp;$C2288,'Smelter Look-up'!$J:$J,0)))</f>
        <v>#N/A</v>
      </c>
      <c r="X2288" s="219">
        <f t="shared" ca="1" si="322"/>
        <v>0</v>
      </c>
      <c r="AB2288" s="220" t="str">
        <f t="shared" si="323"/>
        <v/>
      </c>
    </row>
    <row r="2289" spans="1:28" s="219" customFormat="1" ht="20.25">
      <c r="A2289" s="174"/>
      <c r="B2289" s="175" t="str">
        <f>IF(LEN(A2289)=0,"",INDEX('Smelter Look-up'!$A:$A,MATCH($A2289,'Smelter Look-up'!$E:$E,0)))</f>
        <v/>
      </c>
      <c r="C2289" s="179" t="str">
        <f>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321"/>
        <v/>
      </c>
      <c r="T2289" s="174" t="str">
        <f ca="1">IF(B2289="","",IF(ISERROR(MATCH($J2289,SorP!$B$1:$B$6279,0)),"",INDIRECT("'SorP'!$A$"&amp;MATCH($S2289&amp;$J2289,SorP!C:C,0))))</f>
        <v/>
      </c>
      <c r="U2289" s="194"/>
      <c r="V2289" s="218" t="e">
        <f>IF(C2289="",NA(),IF(OR(C2289="Smelter not listed",C2289="Smelter not yet identified"),MATCH($B2289&amp;$D2289,'Smelter Look-up'!$J:$J,0),MATCH($B2289&amp;$C2289,'Smelter Look-up'!$J:$J,0)))</f>
        <v>#N/A</v>
      </c>
      <c r="X2289" s="219">
        <f t="shared" ca="1" si="322"/>
        <v>0</v>
      </c>
      <c r="AB2289" s="220" t="str">
        <f t="shared" si="323"/>
        <v/>
      </c>
    </row>
    <row r="2290" spans="1:28" s="219" customFormat="1" ht="20.25">
      <c r="A2290" s="174"/>
      <c r="B2290" s="175" t="str">
        <f>IF(LEN(A2290)=0,"",INDEX('Smelter Look-up'!$A:$A,MATCH($A2290,'Smelter Look-up'!$E:$E,0)))</f>
        <v/>
      </c>
      <c r="C2290" s="179" t="str">
        <f>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321"/>
        <v/>
      </c>
      <c r="T2290" s="174" t="str">
        <f ca="1">IF(B2290="","",IF(ISERROR(MATCH($J2290,SorP!$B$1:$B$6279,0)),"",INDIRECT("'SorP'!$A$"&amp;MATCH($S2290&amp;$J2290,SorP!C:C,0))))</f>
        <v/>
      </c>
      <c r="U2290" s="194"/>
      <c r="V2290" s="218" t="e">
        <f>IF(C2290="",NA(),IF(OR(C2290="Smelter not listed",C2290="Smelter not yet identified"),MATCH($B2290&amp;$D2290,'Smelter Look-up'!$J:$J,0),MATCH($B2290&amp;$C2290,'Smelter Look-up'!$J:$J,0)))</f>
        <v>#N/A</v>
      </c>
      <c r="X2290" s="219">
        <f t="shared" ca="1" si="322"/>
        <v>0</v>
      </c>
      <c r="AB2290" s="220" t="str">
        <f t="shared" si="323"/>
        <v/>
      </c>
    </row>
    <row r="2291" spans="1:28" s="219" customFormat="1" ht="20.25">
      <c r="A2291" s="174"/>
      <c r="B2291" s="175" t="str">
        <f>IF(LEN(A2291)=0,"",INDEX('Smelter Look-up'!$A:$A,MATCH($A2291,'Smelter Look-up'!$E:$E,0)))</f>
        <v/>
      </c>
      <c r="C2291" s="179" t="str">
        <f>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321"/>
        <v/>
      </c>
      <c r="T2291" s="174" t="str">
        <f ca="1">IF(B2291="","",IF(ISERROR(MATCH($J2291,SorP!$B$1:$B$6279,0)),"",INDIRECT("'SorP'!$A$"&amp;MATCH($S2291&amp;$J2291,SorP!C:C,0))))</f>
        <v/>
      </c>
      <c r="U2291" s="194"/>
      <c r="V2291" s="218" t="e">
        <f>IF(C2291="",NA(),IF(OR(C2291="Smelter not listed",C2291="Smelter not yet identified"),MATCH($B2291&amp;$D2291,'Smelter Look-up'!$J:$J,0),MATCH($B2291&amp;$C2291,'Smelter Look-up'!$J:$J,0)))</f>
        <v>#N/A</v>
      </c>
      <c r="X2291" s="219">
        <f t="shared" ca="1" si="322"/>
        <v>0</v>
      </c>
      <c r="AB2291" s="220" t="str">
        <f t="shared" si="323"/>
        <v/>
      </c>
    </row>
    <row r="2292" spans="1:28" s="219" customFormat="1" ht="20.25">
      <c r="A2292" s="174"/>
      <c r="B2292" s="175" t="str">
        <f>IF(LEN(A2292)=0,"",INDEX('Smelter Look-up'!$A:$A,MATCH($A2292,'Smelter Look-up'!$E:$E,0)))</f>
        <v/>
      </c>
      <c r="C2292" s="179" t="str">
        <f>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321"/>
        <v/>
      </c>
      <c r="T2292" s="174" t="str">
        <f ca="1">IF(B2292="","",IF(ISERROR(MATCH($J2292,SorP!$B$1:$B$6279,0)),"",INDIRECT("'SorP'!$A$"&amp;MATCH($S2292&amp;$J2292,SorP!C:C,0))))</f>
        <v/>
      </c>
      <c r="U2292" s="194"/>
      <c r="V2292" s="218" t="e">
        <f>IF(C2292="",NA(),IF(OR(C2292="Smelter not listed",C2292="Smelter not yet identified"),MATCH($B2292&amp;$D2292,'Smelter Look-up'!$J:$J,0),MATCH($B2292&amp;$C2292,'Smelter Look-up'!$J:$J,0)))</f>
        <v>#N/A</v>
      </c>
      <c r="X2292" s="219">
        <f t="shared" ca="1" si="322"/>
        <v>0</v>
      </c>
      <c r="AB2292" s="220" t="str">
        <f t="shared" si="323"/>
        <v/>
      </c>
    </row>
    <row r="2293" spans="1:28" s="219" customFormat="1" ht="20.25">
      <c r="A2293" s="174"/>
      <c r="B2293" s="175" t="str">
        <f>IF(LEN(A2293)=0,"",INDEX('Smelter Look-up'!$A:$A,MATCH($A2293,'Smelter Look-up'!$E:$E,0)))</f>
        <v/>
      </c>
      <c r="C2293" s="179" t="str">
        <f>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321"/>
        <v/>
      </c>
      <c r="T2293" s="174" t="str">
        <f ca="1">IF(B2293="","",IF(ISERROR(MATCH($J2293,SorP!$B$1:$B$6279,0)),"",INDIRECT("'SorP'!$A$"&amp;MATCH($S2293&amp;$J2293,SorP!C:C,0))))</f>
        <v/>
      </c>
      <c r="U2293" s="194"/>
      <c r="V2293" s="218" t="e">
        <f>IF(C2293="",NA(),IF(OR(C2293="Smelter not listed",C2293="Smelter not yet identified"),MATCH($B2293&amp;$D2293,'Smelter Look-up'!$J:$J,0),MATCH($B2293&amp;$C2293,'Smelter Look-up'!$J:$J,0)))</f>
        <v>#N/A</v>
      </c>
      <c r="X2293" s="219">
        <f t="shared" ca="1" si="322"/>
        <v>0</v>
      </c>
      <c r="AB2293" s="220" t="str">
        <f t="shared" si="323"/>
        <v/>
      </c>
    </row>
    <row r="2294" spans="1:28" s="219" customFormat="1" ht="20.25">
      <c r="A2294" s="174"/>
      <c r="B2294" s="175" t="str">
        <f>IF(LEN(A2294)=0,"",INDEX('Smelter Look-up'!$A:$A,MATCH($A2294,'Smelter Look-up'!$E:$E,0)))</f>
        <v/>
      </c>
      <c r="C2294" s="179" t="str">
        <f>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321"/>
        <v/>
      </c>
      <c r="T2294" s="174" t="str">
        <f ca="1">IF(B2294="","",IF(ISERROR(MATCH($J2294,SorP!$B$1:$B$6279,0)),"",INDIRECT("'SorP'!$A$"&amp;MATCH($S2294&amp;$J2294,SorP!C:C,0))))</f>
        <v/>
      </c>
      <c r="U2294" s="194"/>
      <c r="V2294" s="218" t="e">
        <f>IF(C2294="",NA(),IF(OR(C2294="Smelter not listed",C2294="Smelter not yet identified"),MATCH($B2294&amp;$D2294,'Smelter Look-up'!$J:$J,0),MATCH($B2294&amp;$C2294,'Smelter Look-up'!$J:$J,0)))</f>
        <v>#N/A</v>
      </c>
      <c r="X2294" s="219">
        <f t="shared" ca="1" si="322"/>
        <v>0</v>
      </c>
      <c r="AB2294" s="220" t="str">
        <f t="shared" si="323"/>
        <v/>
      </c>
    </row>
    <row r="2295" spans="1:28" s="219" customFormat="1" ht="20.25">
      <c r="A2295" s="174"/>
      <c r="B2295" s="175" t="str">
        <f>IF(LEN(A2295)=0,"",INDEX('Smelter Look-up'!$A:$A,MATCH($A2295,'Smelter Look-up'!$E:$E,0)))</f>
        <v/>
      </c>
      <c r="C2295" s="179" t="str">
        <f>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321"/>
        <v/>
      </c>
      <c r="T2295" s="174" t="str">
        <f ca="1">IF(B2295="","",IF(ISERROR(MATCH($J2295,SorP!$B$1:$B$6279,0)),"",INDIRECT("'SorP'!$A$"&amp;MATCH($S2295&amp;$J2295,SorP!C:C,0))))</f>
        <v/>
      </c>
      <c r="U2295" s="194"/>
      <c r="V2295" s="218" t="e">
        <f>IF(C2295="",NA(),IF(OR(C2295="Smelter not listed",C2295="Smelter not yet identified"),MATCH($B2295&amp;$D2295,'Smelter Look-up'!$J:$J,0),MATCH($B2295&amp;$C2295,'Smelter Look-up'!$J:$J,0)))</f>
        <v>#N/A</v>
      </c>
      <c r="X2295" s="219">
        <f t="shared" ca="1" si="322"/>
        <v>0</v>
      </c>
      <c r="AB2295" s="220" t="str">
        <f t="shared" si="323"/>
        <v/>
      </c>
    </row>
    <row r="2296" spans="1:28" s="219" customFormat="1" ht="20.25">
      <c r="A2296" s="174"/>
      <c r="B2296" s="175" t="str">
        <f>IF(LEN(A2296)=0,"",INDEX('Smelter Look-up'!$A:$A,MATCH($A2296,'Smelter Look-up'!$E:$E,0)))</f>
        <v/>
      </c>
      <c r="C2296" s="179" t="str">
        <f>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321"/>
        <v/>
      </c>
      <c r="T2296" s="174" t="str">
        <f ca="1">IF(B2296="","",IF(ISERROR(MATCH($J2296,SorP!$B$1:$B$6279,0)),"",INDIRECT("'SorP'!$A$"&amp;MATCH($S2296&amp;$J2296,SorP!C:C,0))))</f>
        <v/>
      </c>
      <c r="U2296" s="194"/>
      <c r="V2296" s="218" t="e">
        <f>IF(C2296="",NA(),IF(OR(C2296="Smelter not listed",C2296="Smelter not yet identified"),MATCH($B2296&amp;$D2296,'Smelter Look-up'!$J:$J,0),MATCH($B2296&amp;$C2296,'Smelter Look-up'!$J:$J,0)))</f>
        <v>#N/A</v>
      </c>
      <c r="X2296" s="219">
        <f t="shared" ca="1" si="322"/>
        <v>0</v>
      </c>
      <c r="AB2296" s="220" t="str">
        <f t="shared" si="323"/>
        <v/>
      </c>
    </row>
    <row r="2297" spans="1:28" s="219" customFormat="1" ht="20.25">
      <c r="A2297" s="174"/>
      <c r="B2297" s="175" t="str">
        <f>IF(LEN(A2297)=0,"",INDEX('Smelter Look-up'!$A:$A,MATCH($A2297,'Smelter Look-up'!$E:$E,0)))</f>
        <v/>
      </c>
      <c r="C2297" s="179" t="str">
        <f>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ca="1" si="321"/>
        <v/>
      </c>
      <c r="T2297" s="174" t="str">
        <f ca="1">IF(B2297="","",IF(ISERROR(MATCH($J2297,SorP!$B$1:$B$6279,0)),"",INDIRECT("'SorP'!$A$"&amp;MATCH($S2297&amp;$J2297,SorP!C:C,0))))</f>
        <v/>
      </c>
      <c r="U2297" s="194"/>
      <c r="V2297" s="218" t="e">
        <f>IF(C2297="",NA(),IF(OR(C2297="Smelter not listed",C2297="Smelter not yet identified"),MATCH($B2297&amp;$D2297,'Smelter Look-up'!$J:$J,0),MATCH($B2297&amp;$C2297,'Smelter Look-up'!$J:$J,0)))</f>
        <v>#N/A</v>
      </c>
      <c r="X2297" s="219">
        <f t="shared" ca="1" si="322"/>
        <v>0</v>
      </c>
      <c r="AB2297" s="220" t="str">
        <f t="shared" si="323"/>
        <v/>
      </c>
    </row>
    <row r="2298" spans="1:28" s="219" customFormat="1" ht="20.25">
      <c r="A2298" s="174"/>
      <c r="B2298" s="175" t="str">
        <f>IF(LEN(A2298)=0,"",INDEX('Smelter Look-up'!$A:$A,MATCH($A2298,'Smelter Look-up'!$E:$E,0)))</f>
        <v/>
      </c>
      <c r="C2298" s="179" t="str">
        <f>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ca="1" si="321"/>
        <v/>
      </c>
      <c r="T2298" s="174" t="str">
        <f ca="1">IF(B2298="","",IF(ISERROR(MATCH($J2298,SorP!$B$1:$B$6279,0)),"",INDIRECT("'SorP'!$A$"&amp;MATCH($S2298&amp;$J2298,SorP!C:C,0))))</f>
        <v/>
      </c>
      <c r="U2298" s="194"/>
      <c r="V2298" s="218" t="e">
        <f>IF(C2298="",NA(),IF(OR(C2298="Smelter not listed",C2298="Smelter not yet identified"),MATCH($B2298&amp;$D2298,'Smelter Look-up'!$J:$J,0),MATCH($B2298&amp;$C2298,'Smelter Look-up'!$J:$J,0)))</f>
        <v>#N/A</v>
      </c>
      <c r="X2298" s="219">
        <f t="shared" ca="1" si="322"/>
        <v>0</v>
      </c>
      <c r="AB2298" s="220" t="str">
        <f t="shared" si="323"/>
        <v/>
      </c>
    </row>
    <row r="2299" spans="1:28" s="219" customFormat="1" ht="20.25">
      <c r="A2299" s="174"/>
      <c r="B2299" s="175" t="str">
        <f>IF(LEN(A2299)=0,"",INDEX('Smelter Look-up'!$A:$A,MATCH($A2299,'Smelter Look-up'!$E:$E,0)))</f>
        <v/>
      </c>
      <c r="C2299" s="179" t="str">
        <f>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t="shared" ref="S2299" ca="1" si="324">IF(B2299="","",IF(ISERROR(MATCH($E2299,CL,0)),"Unknown",INDIRECT("'C'!$A$"&amp;MATCH($E2299,CL,0)+1)))</f>
        <v/>
      </c>
      <c r="T2299" s="174" t="str">
        <f ca="1">IF(B2299="","",IF(ISERROR(MATCH($J2299,SorP!$B$1:$B$6279,0)),"",INDIRECT("'SorP'!$A$"&amp;MATCH($S2299&amp;$J2299,SorP!C:C,0))))</f>
        <v/>
      </c>
      <c r="U2299" s="194"/>
      <c r="V2299" s="218" t="e">
        <f>IF(C2299="",NA(),IF(OR(C2299="Smelter not listed",C2299="Smelter not yet identified"),MATCH($B2299&amp;$D2299,'Smelter Look-up'!$J:$J,0),MATCH($B2299&amp;$C2299,'Smelter Look-up'!$J:$J,0)))</f>
        <v>#N/A</v>
      </c>
      <c r="X2299" s="219">
        <f t="shared" ref="X2299" ca="1" si="325">IF(AND(C2299="Smelter not listed",OR(LEN(D2299)=0,LEN(E2299)=0)),1,0)</f>
        <v>0</v>
      </c>
      <c r="AB2299" s="220" t="str">
        <f t="shared" ref="AB2299" si="326">B2299&amp;C2299</f>
        <v/>
      </c>
    </row>
    <row r="2300" spans="1:28" s="219" customFormat="1" ht="20.25">
      <c r="A2300" s="174"/>
      <c r="B2300" s="175" t="str">
        <f>IF(LEN(A2300)=0,"",INDEX('Smelter Look-up'!$A:$A,MATCH($A2300,'Smelter Look-up'!$E:$E,0)))</f>
        <v/>
      </c>
      <c r="C2300" s="179" t="str">
        <f>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ref="S2300:S2331" ca="1" si="327">IF(B2300="","",IF(ISERROR(MATCH($E2300,CL,0)),"Unknown",INDIRECT("'C'!$A$"&amp;MATCH($E2300,CL,0)+1)))</f>
        <v/>
      </c>
      <c r="T2300" s="174" t="str">
        <f ca="1">IF(B2300="","",IF(ISERROR(MATCH($J2300,SorP!$B$1:$B$6279,0)),"",INDIRECT("'SorP'!$A$"&amp;MATCH($S2300&amp;$J2300,SorP!C:C,0))))</f>
        <v/>
      </c>
      <c r="U2300" s="194"/>
      <c r="V2300" s="218" t="e">
        <f>IF(C2300="",NA(),IF(OR(C2300="Smelter not listed",C2300="Smelter not yet identified"),MATCH($B2300&amp;$D2300,'Smelter Look-up'!$J:$J,0),MATCH($B2300&amp;$C2300,'Smelter Look-up'!$J:$J,0)))</f>
        <v>#N/A</v>
      </c>
      <c r="X2300" s="219">
        <f t="shared" ref="X2300:X2331" ca="1" si="328">IF(AND(C2300="Smelter not listed",OR(LEN(D2300)=0,LEN(E2300)=0)),1,0)</f>
        <v>0</v>
      </c>
      <c r="AB2300" s="220" t="str">
        <f t="shared" ref="AB2300:AB2331" si="329">B2300&amp;C2300</f>
        <v/>
      </c>
    </row>
    <row r="2301" spans="1:28" s="219" customFormat="1" ht="20.25">
      <c r="A2301" s="174"/>
      <c r="B2301" s="175" t="str">
        <f>IF(LEN(A2301)=0,"",INDEX('Smelter Look-up'!$A:$A,MATCH($A2301,'Smelter Look-up'!$E:$E,0)))</f>
        <v/>
      </c>
      <c r="C2301" s="179" t="str">
        <f>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327"/>
        <v/>
      </c>
      <c r="T2301" s="174" t="str">
        <f ca="1">IF(B2301="","",IF(ISERROR(MATCH($J2301,SorP!$B$1:$B$6279,0)),"",INDIRECT("'SorP'!$A$"&amp;MATCH($S2301&amp;$J2301,SorP!C:C,0))))</f>
        <v/>
      </c>
      <c r="U2301" s="194"/>
      <c r="V2301" s="218" t="e">
        <f>IF(C2301="",NA(),IF(OR(C2301="Smelter not listed",C2301="Smelter not yet identified"),MATCH($B2301&amp;$D2301,'Smelter Look-up'!$J:$J,0),MATCH($B2301&amp;$C2301,'Smelter Look-up'!$J:$J,0)))</f>
        <v>#N/A</v>
      </c>
      <c r="X2301" s="219">
        <f t="shared" ca="1" si="328"/>
        <v>0</v>
      </c>
      <c r="AB2301" s="220" t="str">
        <f t="shared" si="329"/>
        <v/>
      </c>
    </row>
    <row r="2302" spans="1:28" s="219" customFormat="1" ht="20.25">
      <c r="A2302" s="174"/>
      <c r="B2302" s="175" t="str">
        <f>IF(LEN(A2302)=0,"",INDEX('Smelter Look-up'!$A:$A,MATCH($A2302,'Smelter Look-up'!$E:$E,0)))</f>
        <v/>
      </c>
      <c r="C2302" s="179" t="str">
        <f>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327"/>
        <v/>
      </c>
      <c r="T2302" s="174" t="str">
        <f ca="1">IF(B2302="","",IF(ISERROR(MATCH($J2302,SorP!$B$1:$B$6279,0)),"",INDIRECT("'SorP'!$A$"&amp;MATCH($S2302&amp;$J2302,SorP!C:C,0))))</f>
        <v/>
      </c>
      <c r="U2302" s="194"/>
      <c r="V2302" s="218" t="e">
        <f>IF(C2302="",NA(),IF(OR(C2302="Smelter not listed",C2302="Smelter not yet identified"),MATCH($B2302&amp;$D2302,'Smelter Look-up'!$J:$J,0),MATCH($B2302&amp;$C2302,'Smelter Look-up'!$J:$J,0)))</f>
        <v>#N/A</v>
      </c>
      <c r="X2302" s="219">
        <f t="shared" ca="1" si="328"/>
        <v>0</v>
      </c>
      <c r="AB2302" s="220" t="str">
        <f t="shared" si="329"/>
        <v/>
      </c>
    </row>
    <row r="2303" spans="1:28" s="219" customFormat="1" ht="20.25">
      <c r="A2303" s="174"/>
      <c r="B2303" s="175" t="str">
        <f>IF(LEN(A2303)=0,"",INDEX('Smelter Look-up'!$A:$A,MATCH($A2303,'Smelter Look-up'!$E:$E,0)))</f>
        <v/>
      </c>
      <c r="C2303" s="179" t="str">
        <f>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327"/>
        <v/>
      </c>
      <c r="T2303" s="174" t="str">
        <f ca="1">IF(B2303="","",IF(ISERROR(MATCH($J2303,SorP!$B$1:$B$6279,0)),"",INDIRECT("'SorP'!$A$"&amp;MATCH($S2303&amp;$J2303,SorP!C:C,0))))</f>
        <v/>
      </c>
      <c r="U2303" s="194"/>
      <c r="V2303" s="218" t="e">
        <f>IF(C2303="",NA(),IF(OR(C2303="Smelter not listed",C2303="Smelter not yet identified"),MATCH($B2303&amp;$D2303,'Smelter Look-up'!$J:$J,0),MATCH($B2303&amp;$C2303,'Smelter Look-up'!$J:$J,0)))</f>
        <v>#N/A</v>
      </c>
      <c r="X2303" s="219">
        <f t="shared" ca="1" si="328"/>
        <v>0</v>
      </c>
      <c r="AB2303" s="220" t="str">
        <f t="shared" si="329"/>
        <v/>
      </c>
    </row>
    <row r="2304" spans="1:28" s="219" customFormat="1" ht="20.25">
      <c r="A2304" s="174"/>
      <c r="B2304" s="175" t="str">
        <f>IF(LEN(A2304)=0,"",INDEX('Smelter Look-up'!$A:$A,MATCH($A2304,'Smelter Look-up'!$E:$E,0)))</f>
        <v/>
      </c>
      <c r="C2304" s="179" t="str">
        <f>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327"/>
        <v/>
      </c>
      <c r="T2304" s="174" t="str">
        <f ca="1">IF(B2304="","",IF(ISERROR(MATCH($J2304,SorP!$B$1:$B$6279,0)),"",INDIRECT("'SorP'!$A$"&amp;MATCH($S2304&amp;$J2304,SorP!C:C,0))))</f>
        <v/>
      </c>
      <c r="U2304" s="194"/>
      <c r="V2304" s="218" t="e">
        <f>IF(C2304="",NA(),IF(OR(C2304="Smelter not listed",C2304="Smelter not yet identified"),MATCH($B2304&amp;$D2304,'Smelter Look-up'!$J:$J,0),MATCH($B2304&amp;$C2304,'Smelter Look-up'!$J:$J,0)))</f>
        <v>#N/A</v>
      </c>
      <c r="X2304" s="219">
        <f t="shared" ca="1" si="328"/>
        <v>0</v>
      </c>
      <c r="AB2304" s="220" t="str">
        <f t="shared" si="329"/>
        <v/>
      </c>
    </row>
    <row r="2305" spans="1:28" s="219" customFormat="1" ht="20.25">
      <c r="A2305" s="174"/>
      <c r="B2305" s="175" t="str">
        <f>IF(LEN(A2305)=0,"",INDEX('Smelter Look-up'!$A:$A,MATCH($A2305,'Smelter Look-up'!$E:$E,0)))</f>
        <v/>
      </c>
      <c r="C2305" s="179" t="str">
        <f>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327"/>
        <v/>
      </c>
      <c r="T2305" s="174" t="str">
        <f ca="1">IF(B2305="","",IF(ISERROR(MATCH($J2305,SorP!$B$1:$B$6279,0)),"",INDIRECT("'SorP'!$A$"&amp;MATCH($S2305&amp;$J2305,SorP!C:C,0))))</f>
        <v/>
      </c>
      <c r="U2305" s="194"/>
      <c r="V2305" s="218" t="e">
        <f>IF(C2305="",NA(),IF(OR(C2305="Smelter not listed",C2305="Smelter not yet identified"),MATCH($B2305&amp;$D2305,'Smelter Look-up'!$J:$J,0),MATCH($B2305&amp;$C2305,'Smelter Look-up'!$J:$J,0)))</f>
        <v>#N/A</v>
      </c>
      <c r="X2305" s="219">
        <f t="shared" ca="1" si="328"/>
        <v>0</v>
      </c>
      <c r="AB2305" s="220" t="str">
        <f t="shared" si="329"/>
        <v/>
      </c>
    </row>
    <row r="2306" spans="1:28" s="219" customFormat="1" ht="20.25">
      <c r="A2306" s="174"/>
      <c r="B2306" s="175" t="str">
        <f>IF(LEN(A2306)=0,"",INDEX('Smelter Look-up'!$A:$A,MATCH($A2306,'Smelter Look-up'!$E:$E,0)))</f>
        <v/>
      </c>
      <c r="C2306" s="179" t="str">
        <f>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327"/>
        <v/>
      </c>
      <c r="T2306" s="174" t="str">
        <f ca="1">IF(B2306="","",IF(ISERROR(MATCH($J2306,SorP!$B$1:$B$6279,0)),"",INDIRECT("'SorP'!$A$"&amp;MATCH($S2306&amp;$J2306,SorP!C:C,0))))</f>
        <v/>
      </c>
      <c r="U2306" s="194"/>
      <c r="V2306" s="218" t="e">
        <f>IF(C2306="",NA(),IF(OR(C2306="Smelter not listed",C2306="Smelter not yet identified"),MATCH($B2306&amp;$D2306,'Smelter Look-up'!$J:$J,0),MATCH($B2306&amp;$C2306,'Smelter Look-up'!$J:$J,0)))</f>
        <v>#N/A</v>
      </c>
      <c r="X2306" s="219">
        <f t="shared" ca="1" si="328"/>
        <v>0</v>
      </c>
      <c r="AB2306" s="220" t="str">
        <f t="shared" si="329"/>
        <v/>
      </c>
    </row>
    <row r="2307" spans="1:28" s="219" customFormat="1" ht="20.25">
      <c r="A2307" s="174"/>
      <c r="B2307" s="175" t="str">
        <f>IF(LEN(A2307)=0,"",INDEX('Smelter Look-up'!$A:$A,MATCH($A2307,'Smelter Look-up'!$E:$E,0)))</f>
        <v/>
      </c>
      <c r="C2307" s="179" t="str">
        <f>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327"/>
        <v/>
      </c>
      <c r="T2307" s="174" t="str">
        <f ca="1">IF(B2307="","",IF(ISERROR(MATCH($J2307,SorP!$B$1:$B$6279,0)),"",INDIRECT("'SorP'!$A$"&amp;MATCH($S2307&amp;$J2307,SorP!C:C,0))))</f>
        <v/>
      </c>
      <c r="U2307" s="194"/>
      <c r="V2307" s="218" t="e">
        <f>IF(C2307="",NA(),IF(OR(C2307="Smelter not listed",C2307="Smelter not yet identified"),MATCH($B2307&amp;$D2307,'Smelter Look-up'!$J:$J,0),MATCH($B2307&amp;$C2307,'Smelter Look-up'!$J:$J,0)))</f>
        <v>#N/A</v>
      </c>
      <c r="X2307" s="219">
        <f t="shared" ca="1" si="328"/>
        <v>0</v>
      </c>
      <c r="AB2307" s="220" t="str">
        <f t="shared" si="329"/>
        <v/>
      </c>
    </row>
    <row r="2308" spans="1:28" s="219" customFormat="1" ht="20.25">
      <c r="A2308" s="174"/>
      <c r="B2308" s="175" t="str">
        <f>IF(LEN(A2308)=0,"",INDEX('Smelter Look-up'!$A:$A,MATCH($A2308,'Smelter Look-up'!$E:$E,0)))</f>
        <v/>
      </c>
      <c r="C2308" s="179" t="str">
        <f>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327"/>
        <v/>
      </c>
      <c r="T2308" s="174" t="str">
        <f ca="1">IF(B2308="","",IF(ISERROR(MATCH($J2308,SorP!$B$1:$B$6279,0)),"",INDIRECT("'SorP'!$A$"&amp;MATCH($S2308&amp;$J2308,SorP!C:C,0))))</f>
        <v/>
      </c>
      <c r="U2308" s="194"/>
      <c r="V2308" s="218" t="e">
        <f>IF(C2308="",NA(),IF(OR(C2308="Smelter not listed",C2308="Smelter not yet identified"),MATCH($B2308&amp;$D2308,'Smelter Look-up'!$J:$J,0),MATCH($B2308&amp;$C2308,'Smelter Look-up'!$J:$J,0)))</f>
        <v>#N/A</v>
      </c>
      <c r="X2308" s="219">
        <f t="shared" ca="1" si="328"/>
        <v>0</v>
      </c>
      <c r="AB2308" s="220" t="str">
        <f t="shared" si="329"/>
        <v/>
      </c>
    </row>
    <row r="2309" spans="1:28" s="219" customFormat="1" ht="20.25">
      <c r="A2309" s="174"/>
      <c r="B2309" s="175" t="str">
        <f>IF(LEN(A2309)=0,"",INDEX('Smelter Look-up'!$A:$A,MATCH($A2309,'Smelter Look-up'!$E:$E,0)))</f>
        <v/>
      </c>
      <c r="C2309" s="179" t="str">
        <f>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327"/>
        <v/>
      </c>
      <c r="T2309" s="174" t="str">
        <f ca="1">IF(B2309="","",IF(ISERROR(MATCH($J2309,SorP!$B$1:$B$6279,0)),"",INDIRECT("'SorP'!$A$"&amp;MATCH($S2309&amp;$J2309,SorP!C:C,0))))</f>
        <v/>
      </c>
      <c r="U2309" s="194"/>
      <c r="V2309" s="218" t="e">
        <f>IF(C2309="",NA(),IF(OR(C2309="Smelter not listed",C2309="Smelter not yet identified"),MATCH($B2309&amp;$D2309,'Smelter Look-up'!$J:$J,0),MATCH($B2309&amp;$C2309,'Smelter Look-up'!$J:$J,0)))</f>
        <v>#N/A</v>
      </c>
      <c r="X2309" s="219">
        <f t="shared" ca="1" si="328"/>
        <v>0</v>
      </c>
      <c r="AB2309" s="220" t="str">
        <f t="shared" si="329"/>
        <v/>
      </c>
    </row>
    <row r="2310" spans="1:28" s="219" customFormat="1" ht="20.25">
      <c r="A2310" s="174"/>
      <c r="B2310" s="175" t="str">
        <f>IF(LEN(A2310)=0,"",INDEX('Smelter Look-up'!$A:$A,MATCH($A2310,'Smelter Look-up'!$E:$E,0)))</f>
        <v/>
      </c>
      <c r="C2310" s="179" t="str">
        <f>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327"/>
        <v/>
      </c>
      <c r="T2310" s="174" t="str">
        <f ca="1">IF(B2310="","",IF(ISERROR(MATCH($J2310,SorP!$B$1:$B$6279,0)),"",INDIRECT("'SorP'!$A$"&amp;MATCH($S2310&amp;$J2310,SorP!C:C,0))))</f>
        <v/>
      </c>
      <c r="U2310" s="194"/>
      <c r="V2310" s="218" t="e">
        <f>IF(C2310="",NA(),IF(OR(C2310="Smelter not listed",C2310="Smelter not yet identified"),MATCH($B2310&amp;$D2310,'Smelter Look-up'!$J:$J,0),MATCH($B2310&amp;$C2310,'Smelter Look-up'!$J:$J,0)))</f>
        <v>#N/A</v>
      </c>
      <c r="X2310" s="219">
        <f t="shared" ca="1" si="328"/>
        <v>0</v>
      </c>
      <c r="AB2310" s="220" t="str">
        <f t="shared" si="329"/>
        <v/>
      </c>
    </row>
    <row r="2311" spans="1:28" s="219" customFormat="1" ht="20.25">
      <c r="A2311" s="174"/>
      <c r="B2311" s="175" t="str">
        <f>IF(LEN(A2311)=0,"",INDEX('Smelter Look-up'!$A:$A,MATCH($A2311,'Smelter Look-up'!$E:$E,0)))</f>
        <v/>
      </c>
      <c r="C2311" s="179" t="str">
        <f>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327"/>
        <v/>
      </c>
      <c r="T2311" s="174" t="str">
        <f ca="1">IF(B2311="","",IF(ISERROR(MATCH($J2311,SorP!$B$1:$B$6279,0)),"",INDIRECT("'SorP'!$A$"&amp;MATCH($S2311&amp;$J2311,SorP!C:C,0))))</f>
        <v/>
      </c>
      <c r="U2311" s="194"/>
      <c r="V2311" s="218" t="e">
        <f>IF(C2311="",NA(),IF(OR(C2311="Smelter not listed",C2311="Smelter not yet identified"),MATCH($B2311&amp;$D2311,'Smelter Look-up'!$J:$J,0),MATCH($B2311&amp;$C2311,'Smelter Look-up'!$J:$J,0)))</f>
        <v>#N/A</v>
      </c>
      <c r="X2311" s="219">
        <f t="shared" ca="1" si="328"/>
        <v>0</v>
      </c>
      <c r="AB2311" s="220" t="str">
        <f t="shared" si="329"/>
        <v/>
      </c>
    </row>
    <row r="2312" spans="1:28" s="219" customFormat="1" ht="20.25">
      <c r="A2312" s="174"/>
      <c r="B2312" s="175" t="str">
        <f>IF(LEN(A2312)=0,"",INDEX('Smelter Look-up'!$A:$A,MATCH($A2312,'Smelter Look-up'!$E:$E,0)))</f>
        <v/>
      </c>
      <c r="C2312" s="179" t="str">
        <f>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327"/>
        <v/>
      </c>
      <c r="T2312" s="174" t="str">
        <f ca="1">IF(B2312="","",IF(ISERROR(MATCH($J2312,SorP!$B$1:$B$6279,0)),"",INDIRECT("'SorP'!$A$"&amp;MATCH($S2312&amp;$J2312,SorP!C:C,0))))</f>
        <v/>
      </c>
      <c r="U2312" s="194"/>
      <c r="V2312" s="218" t="e">
        <f>IF(C2312="",NA(),IF(OR(C2312="Smelter not listed",C2312="Smelter not yet identified"),MATCH($B2312&amp;$D2312,'Smelter Look-up'!$J:$J,0),MATCH($B2312&amp;$C2312,'Smelter Look-up'!$J:$J,0)))</f>
        <v>#N/A</v>
      </c>
      <c r="X2312" s="219">
        <f t="shared" ca="1" si="328"/>
        <v>0</v>
      </c>
      <c r="AB2312" s="220" t="str">
        <f t="shared" si="329"/>
        <v/>
      </c>
    </row>
    <row r="2313" spans="1:28" s="219" customFormat="1" ht="20.25">
      <c r="A2313" s="174"/>
      <c r="B2313" s="175" t="str">
        <f>IF(LEN(A2313)=0,"",INDEX('Smelter Look-up'!$A:$A,MATCH($A2313,'Smelter Look-up'!$E:$E,0)))</f>
        <v/>
      </c>
      <c r="C2313" s="179" t="str">
        <f>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327"/>
        <v/>
      </c>
      <c r="T2313" s="174" t="str">
        <f ca="1">IF(B2313="","",IF(ISERROR(MATCH($J2313,SorP!$B$1:$B$6279,0)),"",INDIRECT("'SorP'!$A$"&amp;MATCH($S2313&amp;$J2313,SorP!C:C,0))))</f>
        <v/>
      </c>
      <c r="U2313" s="194"/>
      <c r="V2313" s="218" t="e">
        <f>IF(C2313="",NA(),IF(OR(C2313="Smelter not listed",C2313="Smelter not yet identified"),MATCH($B2313&amp;$D2313,'Smelter Look-up'!$J:$J,0),MATCH($B2313&amp;$C2313,'Smelter Look-up'!$J:$J,0)))</f>
        <v>#N/A</v>
      </c>
      <c r="X2313" s="219">
        <f t="shared" ca="1" si="328"/>
        <v>0</v>
      </c>
      <c r="AB2313" s="220" t="str">
        <f t="shared" si="329"/>
        <v/>
      </c>
    </row>
    <row r="2314" spans="1:28" s="219" customFormat="1" ht="20.25">
      <c r="A2314" s="174"/>
      <c r="B2314" s="175" t="str">
        <f>IF(LEN(A2314)=0,"",INDEX('Smelter Look-up'!$A:$A,MATCH($A2314,'Smelter Look-up'!$E:$E,0)))</f>
        <v/>
      </c>
      <c r="C2314" s="179" t="str">
        <f>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327"/>
        <v/>
      </c>
      <c r="T2314" s="174" t="str">
        <f ca="1">IF(B2314="","",IF(ISERROR(MATCH($J2314,SorP!$B$1:$B$6279,0)),"",INDIRECT("'SorP'!$A$"&amp;MATCH($S2314&amp;$J2314,SorP!C:C,0))))</f>
        <v/>
      </c>
      <c r="U2314" s="194"/>
      <c r="V2314" s="218" t="e">
        <f>IF(C2314="",NA(),IF(OR(C2314="Smelter not listed",C2314="Smelter not yet identified"),MATCH($B2314&amp;$D2314,'Smelter Look-up'!$J:$J,0),MATCH($B2314&amp;$C2314,'Smelter Look-up'!$J:$J,0)))</f>
        <v>#N/A</v>
      </c>
      <c r="X2314" s="219">
        <f t="shared" ca="1" si="328"/>
        <v>0</v>
      </c>
      <c r="AB2314" s="220" t="str">
        <f t="shared" si="329"/>
        <v/>
      </c>
    </row>
    <row r="2315" spans="1:28" s="219" customFormat="1" ht="20.25">
      <c r="A2315" s="174"/>
      <c r="B2315" s="175" t="str">
        <f>IF(LEN(A2315)=0,"",INDEX('Smelter Look-up'!$A:$A,MATCH($A2315,'Smelter Look-up'!$E:$E,0)))</f>
        <v/>
      </c>
      <c r="C2315" s="179" t="str">
        <f>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327"/>
        <v/>
      </c>
      <c r="T2315" s="174" t="str">
        <f ca="1">IF(B2315="","",IF(ISERROR(MATCH($J2315,SorP!$B$1:$B$6279,0)),"",INDIRECT("'SorP'!$A$"&amp;MATCH($S2315&amp;$J2315,SorP!C:C,0))))</f>
        <v/>
      </c>
      <c r="U2315" s="194"/>
      <c r="V2315" s="218" t="e">
        <f>IF(C2315="",NA(),IF(OR(C2315="Smelter not listed",C2315="Smelter not yet identified"),MATCH($B2315&amp;$D2315,'Smelter Look-up'!$J:$J,0),MATCH($B2315&amp;$C2315,'Smelter Look-up'!$J:$J,0)))</f>
        <v>#N/A</v>
      </c>
      <c r="X2315" s="219">
        <f t="shared" ca="1" si="328"/>
        <v>0</v>
      </c>
      <c r="AB2315" s="220" t="str">
        <f t="shared" si="329"/>
        <v/>
      </c>
    </row>
    <row r="2316" spans="1:28" s="219" customFormat="1" ht="20.25">
      <c r="A2316" s="174"/>
      <c r="B2316" s="175" t="str">
        <f>IF(LEN(A2316)=0,"",INDEX('Smelter Look-up'!$A:$A,MATCH($A2316,'Smelter Look-up'!$E:$E,0)))</f>
        <v/>
      </c>
      <c r="C2316" s="179" t="str">
        <f>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327"/>
        <v/>
      </c>
      <c r="T2316" s="174" t="str">
        <f ca="1">IF(B2316="","",IF(ISERROR(MATCH($J2316,SorP!$B$1:$B$6279,0)),"",INDIRECT("'SorP'!$A$"&amp;MATCH($S2316&amp;$J2316,SorP!C:C,0))))</f>
        <v/>
      </c>
      <c r="U2316" s="194"/>
      <c r="V2316" s="218" t="e">
        <f>IF(C2316="",NA(),IF(OR(C2316="Smelter not listed",C2316="Smelter not yet identified"),MATCH($B2316&amp;$D2316,'Smelter Look-up'!$J:$J,0),MATCH($B2316&amp;$C2316,'Smelter Look-up'!$J:$J,0)))</f>
        <v>#N/A</v>
      </c>
      <c r="X2316" s="219">
        <f t="shared" ca="1" si="328"/>
        <v>0</v>
      </c>
      <c r="AB2316" s="220" t="str">
        <f t="shared" si="329"/>
        <v/>
      </c>
    </row>
    <row r="2317" spans="1:28" s="219" customFormat="1" ht="20.25">
      <c r="A2317" s="174"/>
      <c r="B2317" s="175" t="str">
        <f>IF(LEN(A2317)=0,"",INDEX('Smelter Look-up'!$A:$A,MATCH($A2317,'Smelter Look-up'!$E:$E,0)))</f>
        <v/>
      </c>
      <c r="C2317" s="179" t="str">
        <f>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327"/>
        <v/>
      </c>
      <c r="T2317" s="174" t="str">
        <f ca="1">IF(B2317="","",IF(ISERROR(MATCH($J2317,SorP!$B$1:$B$6279,0)),"",INDIRECT("'SorP'!$A$"&amp;MATCH($S2317&amp;$J2317,SorP!C:C,0))))</f>
        <v/>
      </c>
      <c r="U2317" s="194"/>
      <c r="V2317" s="218" t="e">
        <f>IF(C2317="",NA(),IF(OR(C2317="Smelter not listed",C2317="Smelter not yet identified"),MATCH($B2317&amp;$D2317,'Smelter Look-up'!$J:$J,0),MATCH($B2317&amp;$C2317,'Smelter Look-up'!$J:$J,0)))</f>
        <v>#N/A</v>
      </c>
      <c r="X2317" s="219">
        <f t="shared" ca="1" si="328"/>
        <v>0</v>
      </c>
      <c r="AB2317" s="220" t="str">
        <f t="shared" si="329"/>
        <v/>
      </c>
    </row>
    <row r="2318" spans="1:28" s="219" customFormat="1" ht="20.25">
      <c r="A2318" s="174"/>
      <c r="B2318" s="175" t="str">
        <f>IF(LEN(A2318)=0,"",INDEX('Smelter Look-up'!$A:$A,MATCH($A2318,'Smelter Look-up'!$E:$E,0)))</f>
        <v/>
      </c>
      <c r="C2318" s="179" t="str">
        <f>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327"/>
        <v/>
      </c>
      <c r="T2318" s="174" t="str">
        <f ca="1">IF(B2318="","",IF(ISERROR(MATCH($J2318,SorP!$B$1:$B$6279,0)),"",INDIRECT("'SorP'!$A$"&amp;MATCH($S2318&amp;$J2318,SorP!C:C,0))))</f>
        <v/>
      </c>
      <c r="U2318" s="194"/>
      <c r="V2318" s="218" t="e">
        <f>IF(C2318="",NA(),IF(OR(C2318="Smelter not listed",C2318="Smelter not yet identified"),MATCH($B2318&amp;$D2318,'Smelter Look-up'!$J:$J,0),MATCH($B2318&amp;$C2318,'Smelter Look-up'!$J:$J,0)))</f>
        <v>#N/A</v>
      </c>
      <c r="X2318" s="219">
        <f t="shared" ca="1" si="328"/>
        <v>0</v>
      </c>
      <c r="AB2318" s="220" t="str">
        <f t="shared" si="329"/>
        <v/>
      </c>
    </row>
    <row r="2319" spans="1:28" s="219" customFormat="1" ht="20.25">
      <c r="A2319" s="174"/>
      <c r="B2319" s="175" t="str">
        <f>IF(LEN(A2319)=0,"",INDEX('Smelter Look-up'!$A:$A,MATCH($A2319,'Smelter Look-up'!$E:$E,0)))</f>
        <v/>
      </c>
      <c r="C2319" s="179" t="str">
        <f>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327"/>
        <v/>
      </c>
      <c r="T2319" s="174" t="str">
        <f ca="1">IF(B2319="","",IF(ISERROR(MATCH($J2319,SorP!$B$1:$B$6279,0)),"",INDIRECT("'SorP'!$A$"&amp;MATCH($S2319&amp;$J2319,SorP!C:C,0))))</f>
        <v/>
      </c>
      <c r="U2319" s="194"/>
      <c r="V2319" s="218" t="e">
        <f>IF(C2319="",NA(),IF(OR(C2319="Smelter not listed",C2319="Smelter not yet identified"),MATCH($B2319&amp;$D2319,'Smelter Look-up'!$J:$J,0),MATCH($B2319&amp;$C2319,'Smelter Look-up'!$J:$J,0)))</f>
        <v>#N/A</v>
      </c>
      <c r="X2319" s="219">
        <f t="shared" ca="1" si="328"/>
        <v>0</v>
      </c>
      <c r="AB2319" s="220" t="str">
        <f t="shared" si="329"/>
        <v/>
      </c>
    </row>
    <row r="2320" spans="1:28" s="219" customFormat="1" ht="20.25">
      <c r="A2320" s="174"/>
      <c r="B2320" s="175" t="str">
        <f>IF(LEN(A2320)=0,"",INDEX('Smelter Look-up'!$A:$A,MATCH($A2320,'Smelter Look-up'!$E:$E,0)))</f>
        <v/>
      </c>
      <c r="C2320" s="179" t="str">
        <f>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327"/>
        <v/>
      </c>
      <c r="T2320" s="174" t="str">
        <f ca="1">IF(B2320="","",IF(ISERROR(MATCH($J2320,SorP!$B$1:$B$6279,0)),"",INDIRECT("'SorP'!$A$"&amp;MATCH($S2320&amp;$J2320,SorP!C:C,0))))</f>
        <v/>
      </c>
      <c r="U2320" s="194"/>
      <c r="V2320" s="218" t="e">
        <f>IF(C2320="",NA(),IF(OR(C2320="Smelter not listed",C2320="Smelter not yet identified"),MATCH($B2320&amp;$D2320,'Smelter Look-up'!$J:$J,0),MATCH($B2320&amp;$C2320,'Smelter Look-up'!$J:$J,0)))</f>
        <v>#N/A</v>
      </c>
      <c r="X2320" s="219">
        <f t="shared" ca="1" si="328"/>
        <v>0</v>
      </c>
      <c r="AB2320" s="220" t="str">
        <f t="shared" si="329"/>
        <v/>
      </c>
    </row>
    <row r="2321" spans="1:28" s="219" customFormat="1" ht="20.25">
      <c r="A2321" s="174"/>
      <c r="B2321" s="175" t="str">
        <f>IF(LEN(A2321)=0,"",INDEX('Smelter Look-up'!$A:$A,MATCH($A2321,'Smelter Look-up'!$E:$E,0)))</f>
        <v/>
      </c>
      <c r="C2321" s="179" t="str">
        <f>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327"/>
        <v/>
      </c>
      <c r="T2321" s="174" t="str">
        <f ca="1">IF(B2321="","",IF(ISERROR(MATCH($J2321,SorP!$B$1:$B$6279,0)),"",INDIRECT("'SorP'!$A$"&amp;MATCH($S2321&amp;$J2321,SorP!C:C,0))))</f>
        <v/>
      </c>
      <c r="U2321" s="194"/>
      <c r="V2321" s="218" t="e">
        <f>IF(C2321="",NA(),IF(OR(C2321="Smelter not listed",C2321="Smelter not yet identified"),MATCH($B2321&amp;$D2321,'Smelter Look-up'!$J:$J,0),MATCH($B2321&amp;$C2321,'Smelter Look-up'!$J:$J,0)))</f>
        <v>#N/A</v>
      </c>
      <c r="X2321" s="219">
        <f t="shared" ca="1" si="328"/>
        <v>0</v>
      </c>
      <c r="AB2321" s="220" t="str">
        <f t="shared" si="329"/>
        <v/>
      </c>
    </row>
    <row r="2322" spans="1:28" s="219" customFormat="1" ht="20.25">
      <c r="A2322" s="174"/>
      <c r="B2322" s="175" t="str">
        <f>IF(LEN(A2322)=0,"",INDEX('Smelter Look-up'!$A:$A,MATCH($A2322,'Smelter Look-up'!$E:$E,0)))</f>
        <v/>
      </c>
      <c r="C2322" s="179" t="str">
        <f>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327"/>
        <v/>
      </c>
      <c r="T2322" s="174" t="str">
        <f ca="1">IF(B2322="","",IF(ISERROR(MATCH($J2322,SorP!$B$1:$B$6279,0)),"",INDIRECT("'SorP'!$A$"&amp;MATCH($S2322&amp;$J2322,SorP!C:C,0))))</f>
        <v/>
      </c>
      <c r="U2322" s="194"/>
      <c r="V2322" s="218" t="e">
        <f>IF(C2322="",NA(),IF(OR(C2322="Smelter not listed",C2322="Smelter not yet identified"),MATCH($B2322&amp;$D2322,'Smelter Look-up'!$J:$J,0),MATCH($B2322&amp;$C2322,'Smelter Look-up'!$J:$J,0)))</f>
        <v>#N/A</v>
      </c>
      <c r="X2322" s="219">
        <f t="shared" ca="1" si="328"/>
        <v>0</v>
      </c>
      <c r="AB2322" s="220" t="str">
        <f t="shared" si="329"/>
        <v/>
      </c>
    </row>
    <row r="2323" spans="1:28" s="219" customFormat="1" ht="20.25">
      <c r="A2323" s="174"/>
      <c r="B2323" s="175" t="str">
        <f>IF(LEN(A2323)=0,"",INDEX('Smelter Look-up'!$A:$A,MATCH($A2323,'Smelter Look-up'!$E:$E,0)))</f>
        <v/>
      </c>
      <c r="C2323" s="179" t="str">
        <f>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327"/>
        <v/>
      </c>
      <c r="T2323" s="174" t="str">
        <f ca="1">IF(B2323="","",IF(ISERROR(MATCH($J2323,SorP!$B$1:$B$6279,0)),"",INDIRECT("'SorP'!$A$"&amp;MATCH($S2323&amp;$J2323,SorP!C:C,0))))</f>
        <v/>
      </c>
      <c r="U2323" s="194"/>
      <c r="V2323" s="218" t="e">
        <f>IF(C2323="",NA(),IF(OR(C2323="Smelter not listed",C2323="Smelter not yet identified"),MATCH($B2323&amp;$D2323,'Smelter Look-up'!$J:$J,0),MATCH($B2323&amp;$C2323,'Smelter Look-up'!$J:$J,0)))</f>
        <v>#N/A</v>
      </c>
      <c r="X2323" s="219">
        <f t="shared" ca="1" si="328"/>
        <v>0</v>
      </c>
      <c r="AB2323" s="220" t="str">
        <f t="shared" si="329"/>
        <v/>
      </c>
    </row>
    <row r="2324" spans="1:28" s="219" customFormat="1" ht="20.25">
      <c r="A2324" s="174"/>
      <c r="B2324" s="175" t="str">
        <f>IF(LEN(A2324)=0,"",INDEX('Smelter Look-up'!$A:$A,MATCH($A2324,'Smelter Look-up'!$E:$E,0)))</f>
        <v/>
      </c>
      <c r="C2324" s="179" t="str">
        <f>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327"/>
        <v/>
      </c>
      <c r="T2324" s="174" t="str">
        <f ca="1">IF(B2324="","",IF(ISERROR(MATCH($J2324,SorP!$B$1:$B$6279,0)),"",INDIRECT("'SorP'!$A$"&amp;MATCH($S2324&amp;$J2324,SorP!C:C,0))))</f>
        <v/>
      </c>
      <c r="U2324" s="194"/>
      <c r="V2324" s="218" t="e">
        <f>IF(C2324="",NA(),IF(OR(C2324="Smelter not listed",C2324="Smelter not yet identified"),MATCH($B2324&amp;$D2324,'Smelter Look-up'!$J:$J,0),MATCH($B2324&amp;$C2324,'Smelter Look-up'!$J:$J,0)))</f>
        <v>#N/A</v>
      </c>
      <c r="X2324" s="219">
        <f t="shared" ca="1" si="328"/>
        <v>0</v>
      </c>
      <c r="AB2324" s="220" t="str">
        <f t="shared" si="329"/>
        <v/>
      </c>
    </row>
    <row r="2325" spans="1:28" s="219" customFormat="1" ht="20.25">
      <c r="A2325" s="174"/>
      <c r="B2325" s="175" t="str">
        <f>IF(LEN(A2325)=0,"",INDEX('Smelter Look-up'!$A:$A,MATCH($A2325,'Smelter Look-up'!$E:$E,0)))</f>
        <v/>
      </c>
      <c r="C2325" s="179" t="str">
        <f>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327"/>
        <v/>
      </c>
      <c r="T2325" s="174" t="str">
        <f ca="1">IF(B2325="","",IF(ISERROR(MATCH($J2325,SorP!$B$1:$B$6279,0)),"",INDIRECT("'SorP'!$A$"&amp;MATCH($S2325&amp;$J2325,SorP!C:C,0))))</f>
        <v/>
      </c>
      <c r="U2325" s="194"/>
      <c r="V2325" s="218" t="e">
        <f>IF(C2325="",NA(),IF(OR(C2325="Smelter not listed",C2325="Smelter not yet identified"),MATCH($B2325&amp;$D2325,'Smelter Look-up'!$J:$J,0),MATCH($B2325&amp;$C2325,'Smelter Look-up'!$J:$J,0)))</f>
        <v>#N/A</v>
      </c>
      <c r="X2325" s="219">
        <f t="shared" ca="1" si="328"/>
        <v>0</v>
      </c>
      <c r="AB2325" s="220" t="str">
        <f t="shared" si="329"/>
        <v/>
      </c>
    </row>
    <row r="2326" spans="1:28" s="219" customFormat="1" ht="20.25">
      <c r="A2326" s="174"/>
      <c r="B2326" s="175" t="str">
        <f>IF(LEN(A2326)=0,"",INDEX('Smelter Look-up'!$A:$A,MATCH($A2326,'Smelter Look-up'!$E:$E,0)))</f>
        <v/>
      </c>
      <c r="C2326" s="179" t="str">
        <f>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327"/>
        <v/>
      </c>
      <c r="T2326" s="174" t="str">
        <f ca="1">IF(B2326="","",IF(ISERROR(MATCH($J2326,SorP!$B$1:$B$6279,0)),"",INDIRECT("'SorP'!$A$"&amp;MATCH($S2326&amp;$J2326,SorP!C:C,0))))</f>
        <v/>
      </c>
      <c r="U2326" s="194"/>
      <c r="V2326" s="218" t="e">
        <f>IF(C2326="",NA(),IF(OR(C2326="Smelter not listed",C2326="Smelter not yet identified"),MATCH($B2326&amp;$D2326,'Smelter Look-up'!$J:$J,0),MATCH($B2326&amp;$C2326,'Smelter Look-up'!$J:$J,0)))</f>
        <v>#N/A</v>
      </c>
      <c r="X2326" s="219">
        <f t="shared" ca="1" si="328"/>
        <v>0</v>
      </c>
      <c r="AB2326" s="220" t="str">
        <f t="shared" si="329"/>
        <v/>
      </c>
    </row>
    <row r="2327" spans="1:28" s="219" customFormat="1" ht="20.25">
      <c r="A2327" s="174"/>
      <c r="B2327" s="175" t="str">
        <f>IF(LEN(A2327)=0,"",INDEX('Smelter Look-up'!$A:$A,MATCH($A2327,'Smelter Look-up'!$E:$E,0)))</f>
        <v/>
      </c>
      <c r="C2327" s="179" t="str">
        <f>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327"/>
        <v/>
      </c>
      <c r="T2327" s="174" t="str">
        <f ca="1">IF(B2327="","",IF(ISERROR(MATCH($J2327,SorP!$B$1:$B$6279,0)),"",INDIRECT("'SorP'!$A$"&amp;MATCH($S2327&amp;$J2327,SorP!C:C,0))))</f>
        <v/>
      </c>
      <c r="U2327" s="194"/>
      <c r="V2327" s="218" t="e">
        <f>IF(C2327="",NA(),IF(OR(C2327="Smelter not listed",C2327="Smelter not yet identified"),MATCH($B2327&amp;$D2327,'Smelter Look-up'!$J:$J,0),MATCH($B2327&amp;$C2327,'Smelter Look-up'!$J:$J,0)))</f>
        <v>#N/A</v>
      </c>
      <c r="X2327" s="219">
        <f t="shared" ca="1" si="328"/>
        <v>0</v>
      </c>
      <c r="AB2327" s="220" t="str">
        <f t="shared" si="329"/>
        <v/>
      </c>
    </row>
    <row r="2328" spans="1:28" s="219" customFormat="1" ht="20.25">
      <c r="A2328" s="174"/>
      <c r="B2328" s="175" t="str">
        <f>IF(LEN(A2328)=0,"",INDEX('Smelter Look-up'!$A:$A,MATCH($A2328,'Smelter Look-up'!$E:$E,0)))</f>
        <v/>
      </c>
      <c r="C2328" s="179" t="str">
        <f>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327"/>
        <v/>
      </c>
      <c r="T2328" s="174" t="str">
        <f ca="1">IF(B2328="","",IF(ISERROR(MATCH($J2328,SorP!$B$1:$B$6279,0)),"",INDIRECT("'SorP'!$A$"&amp;MATCH($S2328&amp;$J2328,SorP!C:C,0))))</f>
        <v/>
      </c>
      <c r="U2328" s="194"/>
      <c r="V2328" s="218" t="e">
        <f>IF(C2328="",NA(),IF(OR(C2328="Smelter not listed",C2328="Smelter not yet identified"),MATCH($B2328&amp;$D2328,'Smelter Look-up'!$J:$J,0),MATCH($B2328&amp;$C2328,'Smelter Look-up'!$J:$J,0)))</f>
        <v>#N/A</v>
      </c>
      <c r="X2328" s="219">
        <f t="shared" ca="1" si="328"/>
        <v>0</v>
      </c>
      <c r="AB2328" s="220" t="str">
        <f t="shared" si="329"/>
        <v/>
      </c>
    </row>
    <row r="2329" spans="1:28" s="219" customFormat="1" ht="20.25">
      <c r="A2329" s="174"/>
      <c r="B2329" s="175" t="str">
        <f>IF(LEN(A2329)=0,"",INDEX('Smelter Look-up'!$A:$A,MATCH($A2329,'Smelter Look-up'!$E:$E,0)))</f>
        <v/>
      </c>
      <c r="C2329" s="179" t="str">
        <f>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327"/>
        <v/>
      </c>
      <c r="T2329" s="174" t="str">
        <f ca="1">IF(B2329="","",IF(ISERROR(MATCH($J2329,SorP!$B$1:$B$6279,0)),"",INDIRECT("'SorP'!$A$"&amp;MATCH($S2329&amp;$J2329,SorP!C:C,0))))</f>
        <v/>
      </c>
      <c r="U2329" s="194"/>
      <c r="V2329" s="218" t="e">
        <f>IF(C2329="",NA(),IF(OR(C2329="Smelter not listed",C2329="Smelter not yet identified"),MATCH($B2329&amp;$D2329,'Smelter Look-up'!$J:$J,0),MATCH($B2329&amp;$C2329,'Smelter Look-up'!$J:$J,0)))</f>
        <v>#N/A</v>
      </c>
      <c r="X2329" s="219">
        <f t="shared" ca="1" si="328"/>
        <v>0</v>
      </c>
      <c r="AB2329" s="220" t="str">
        <f t="shared" si="329"/>
        <v/>
      </c>
    </row>
    <row r="2330" spans="1:28" s="219" customFormat="1" ht="20.25">
      <c r="A2330" s="174"/>
      <c r="B2330" s="175" t="str">
        <f>IF(LEN(A2330)=0,"",INDEX('Smelter Look-up'!$A:$A,MATCH($A2330,'Smelter Look-up'!$E:$E,0)))</f>
        <v/>
      </c>
      <c r="C2330" s="179" t="str">
        <f>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ca="1" si="327"/>
        <v/>
      </c>
      <c r="T2330" s="174" t="str">
        <f ca="1">IF(B2330="","",IF(ISERROR(MATCH($J2330,SorP!$B$1:$B$6279,0)),"",INDIRECT("'SorP'!$A$"&amp;MATCH($S2330&amp;$J2330,SorP!C:C,0))))</f>
        <v/>
      </c>
      <c r="U2330" s="194"/>
      <c r="V2330" s="218" t="e">
        <f>IF(C2330="",NA(),IF(OR(C2330="Smelter not listed",C2330="Smelter not yet identified"),MATCH($B2330&amp;$D2330,'Smelter Look-up'!$J:$J,0),MATCH($B2330&amp;$C2330,'Smelter Look-up'!$J:$J,0)))</f>
        <v>#N/A</v>
      </c>
      <c r="X2330" s="219">
        <f t="shared" ca="1" si="328"/>
        <v>0</v>
      </c>
      <c r="AB2330" s="220" t="str">
        <f t="shared" si="329"/>
        <v/>
      </c>
    </row>
    <row r="2331" spans="1:28" s="219" customFormat="1" ht="20.25">
      <c r="A2331" s="174"/>
      <c r="B2331" s="175" t="str">
        <f>IF(LEN(A2331)=0,"",INDEX('Smelter Look-up'!$A:$A,MATCH($A2331,'Smelter Look-up'!$E:$E,0)))</f>
        <v/>
      </c>
      <c r="C2331" s="179" t="str">
        <f>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ca="1" si="327"/>
        <v/>
      </c>
      <c r="T2331" s="174" t="str">
        <f ca="1">IF(B2331="","",IF(ISERROR(MATCH($J2331,SorP!$B$1:$B$6279,0)),"",INDIRECT("'SorP'!$A$"&amp;MATCH($S2331&amp;$J2331,SorP!C:C,0))))</f>
        <v/>
      </c>
      <c r="U2331" s="194"/>
      <c r="V2331" s="218" t="e">
        <f>IF(C2331="",NA(),IF(OR(C2331="Smelter not listed",C2331="Smelter not yet identified"),MATCH($B2331&amp;$D2331,'Smelter Look-up'!$J:$J,0),MATCH($B2331&amp;$C2331,'Smelter Look-up'!$J:$J,0)))</f>
        <v>#N/A</v>
      </c>
      <c r="X2331" s="219">
        <f t="shared" ca="1" si="328"/>
        <v>0</v>
      </c>
      <c r="AB2331" s="220" t="str">
        <f t="shared" si="329"/>
        <v/>
      </c>
    </row>
    <row r="2332" spans="1:28" s="219" customFormat="1" ht="20.25">
      <c r="A2332" s="174"/>
      <c r="B2332" s="175" t="str">
        <f>IF(LEN(A2332)=0,"",INDEX('Smelter Look-up'!$A:$A,MATCH($A2332,'Smelter Look-up'!$E:$E,0)))</f>
        <v/>
      </c>
      <c r="C2332" s="179" t="str">
        <f>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ref="S2332:S2362" ca="1" si="330">IF(B2332="","",IF(ISERROR(MATCH($E2332,CL,0)),"Unknown",INDIRECT("'C'!$A$"&amp;MATCH($E2332,CL,0)+1)))</f>
        <v/>
      </c>
      <c r="T2332" s="174" t="str">
        <f ca="1">IF(B2332="","",IF(ISERROR(MATCH($J2332,SorP!$B$1:$B$6279,0)),"",INDIRECT("'SorP'!$A$"&amp;MATCH($S2332&amp;$J2332,SorP!C:C,0))))</f>
        <v/>
      </c>
      <c r="U2332" s="194"/>
      <c r="V2332" s="218" t="e">
        <f>IF(C2332="",NA(),IF(OR(C2332="Smelter not listed",C2332="Smelter not yet identified"),MATCH($B2332&amp;$D2332,'Smelter Look-up'!$J:$J,0),MATCH($B2332&amp;$C2332,'Smelter Look-up'!$J:$J,0)))</f>
        <v>#N/A</v>
      </c>
      <c r="X2332" s="219">
        <f t="shared" ref="X2332:X2362" ca="1" si="331">IF(AND(C2332="Smelter not listed",OR(LEN(D2332)=0,LEN(E2332)=0)),1,0)</f>
        <v>0</v>
      </c>
      <c r="AB2332" s="220" t="str">
        <f t="shared" ref="AB2332:AB2362" si="332">B2332&amp;C2332</f>
        <v/>
      </c>
    </row>
    <row r="2333" spans="1:28" s="219" customFormat="1" ht="20.25">
      <c r="A2333" s="174"/>
      <c r="B2333" s="175" t="str">
        <f>IF(LEN(A2333)=0,"",INDEX('Smelter Look-up'!$A:$A,MATCH($A2333,'Smelter Look-up'!$E:$E,0)))</f>
        <v/>
      </c>
      <c r="C2333" s="179" t="str">
        <f>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330"/>
        <v/>
      </c>
      <c r="T2333" s="174" t="str">
        <f ca="1">IF(B2333="","",IF(ISERROR(MATCH($J2333,SorP!$B$1:$B$6279,0)),"",INDIRECT("'SorP'!$A$"&amp;MATCH($S2333&amp;$J2333,SorP!C:C,0))))</f>
        <v/>
      </c>
      <c r="U2333" s="194"/>
      <c r="V2333" s="218" t="e">
        <f>IF(C2333="",NA(),IF(OR(C2333="Smelter not listed",C2333="Smelter not yet identified"),MATCH($B2333&amp;$D2333,'Smelter Look-up'!$J:$J,0),MATCH($B2333&amp;$C2333,'Smelter Look-up'!$J:$J,0)))</f>
        <v>#N/A</v>
      </c>
      <c r="X2333" s="219">
        <f t="shared" ca="1" si="331"/>
        <v>0</v>
      </c>
      <c r="AB2333" s="220" t="str">
        <f t="shared" si="332"/>
        <v/>
      </c>
    </row>
    <row r="2334" spans="1:28" s="219" customFormat="1" ht="20.25">
      <c r="A2334" s="174"/>
      <c r="B2334" s="175" t="str">
        <f>IF(LEN(A2334)=0,"",INDEX('Smelter Look-up'!$A:$A,MATCH($A2334,'Smelter Look-up'!$E:$E,0)))</f>
        <v/>
      </c>
      <c r="C2334" s="179" t="str">
        <f>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330"/>
        <v/>
      </c>
      <c r="T2334" s="174" t="str">
        <f ca="1">IF(B2334="","",IF(ISERROR(MATCH($J2334,SorP!$B$1:$B$6279,0)),"",INDIRECT("'SorP'!$A$"&amp;MATCH($S2334&amp;$J2334,SorP!C:C,0))))</f>
        <v/>
      </c>
      <c r="U2334" s="194"/>
      <c r="V2334" s="218" t="e">
        <f>IF(C2334="",NA(),IF(OR(C2334="Smelter not listed",C2334="Smelter not yet identified"),MATCH($B2334&amp;$D2334,'Smelter Look-up'!$J:$J,0),MATCH($B2334&amp;$C2334,'Smelter Look-up'!$J:$J,0)))</f>
        <v>#N/A</v>
      </c>
      <c r="X2334" s="219">
        <f t="shared" ca="1" si="331"/>
        <v>0</v>
      </c>
      <c r="AB2334" s="220" t="str">
        <f t="shared" si="332"/>
        <v/>
      </c>
    </row>
    <row r="2335" spans="1:28" s="219" customFormat="1" ht="20.25">
      <c r="A2335" s="174"/>
      <c r="B2335" s="175" t="str">
        <f>IF(LEN(A2335)=0,"",INDEX('Smelter Look-up'!$A:$A,MATCH($A2335,'Smelter Look-up'!$E:$E,0)))</f>
        <v/>
      </c>
      <c r="C2335" s="179" t="str">
        <f>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330"/>
        <v/>
      </c>
      <c r="T2335" s="174" t="str">
        <f ca="1">IF(B2335="","",IF(ISERROR(MATCH($J2335,SorP!$B$1:$B$6279,0)),"",INDIRECT("'SorP'!$A$"&amp;MATCH($S2335&amp;$J2335,SorP!C:C,0))))</f>
        <v/>
      </c>
      <c r="U2335" s="194"/>
      <c r="V2335" s="218" t="e">
        <f>IF(C2335="",NA(),IF(OR(C2335="Smelter not listed",C2335="Smelter not yet identified"),MATCH($B2335&amp;$D2335,'Smelter Look-up'!$J:$J,0),MATCH($B2335&amp;$C2335,'Smelter Look-up'!$J:$J,0)))</f>
        <v>#N/A</v>
      </c>
      <c r="X2335" s="219">
        <f t="shared" ca="1" si="331"/>
        <v>0</v>
      </c>
      <c r="AB2335" s="220" t="str">
        <f t="shared" si="332"/>
        <v/>
      </c>
    </row>
    <row r="2336" spans="1:28" s="219" customFormat="1" ht="20.25">
      <c r="A2336" s="174"/>
      <c r="B2336" s="175" t="str">
        <f>IF(LEN(A2336)=0,"",INDEX('Smelter Look-up'!$A:$A,MATCH($A2336,'Smelter Look-up'!$E:$E,0)))</f>
        <v/>
      </c>
      <c r="C2336" s="179" t="str">
        <f>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330"/>
        <v/>
      </c>
      <c r="T2336" s="174" t="str">
        <f ca="1">IF(B2336="","",IF(ISERROR(MATCH($J2336,SorP!$B$1:$B$6279,0)),"",INDIRECT("'SorP'!$A$"&amp;MATCH($S2336&amp;$J2336,SorP!C:C,0))))</f>
        <v/>
      </c>
      <c r="U2336" s="194"/>
      <c r="V2336" s="218" t="e">
        <f>IF(C2336="",NA(),IF(OR(C2336="Smelter not listed",C2336="Smelter not yet identified"),MATCH($B2336&amp;$D2336,'Smelter Look-up'!$J:$J,0),MATCH($B2336&amp;$C2336,'Smelter Look-up'!$J:$J,0)))</f>
        <v>#N/A</v>
      </c>
      <c r="X2336" s="219">
        <f t="shared" ca="1" si="331"/>
        <v>0</v>
      </c>
      <c r="AB2336" s="220" t="str">
        <f t="shared" si="332"/>
        <v/>
      </c>
    </row>
    <row r="2337" spans="1:28" s="219" customFormat="1" ht="20.25">
      <c r="A2337" s="174"/>
      <c r="B2337" s="175" t="str">
        <f>IF(LEN(A2337)=0,"",INDEX('Smelter Look-up'!$A:$A,MATCH($A2337,'Smelter Look-up'!$E:$E,0)))</f>
        <v/>
      </c>
      <c r="C2337" s="179" t="str">
        <f>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330"/>
        <v/>
      </c>
      <c r="T2337" s="174" t="str">
        <f ca="1">IF(B2337="","",IF(ISERROR(MATCH($J2337,SorP!$B$1:$B$6279,0)),"",INDIRECT("'SorP'!$A$"&amp;MATCH($S2337&amp;$J2337,SorP!C:C,0))))</f>
        <v/>
      </c>
      <c r="U2337" s="194"/>
      <c r="V2337" s="218" t="e">
        <f>IF(C2337="",NA(),IF(OR(C2337="Smelter not listed",C2337="Smelter not yet identified"),MATCH($B2337&amp;$D2337,'Smelter Look-up'!$J:$J,0),MATCH($B2337&amp;$C2337,'Smelter Look-up'!$J:$J,0)))</f>
        <v>#N/A</v>
      </c>
      <c r="X2337" s="219">
        <f t="shared" ca="1" si="331"/>
        <v>0</v>
      </c>
      <c r="AB2337" s="220" t="str">
        <f t="shared" si="332"/>
        <v/>
      </c>
    </row>
    <row r="2338" spans="1:28" s="219" customFormat="1" ht="20.25">
      <c r="A2338" s="174"/>
      <c r="B2338" s="175" t="str">
        <f>IF(LEN(A2338)=0,"",INDEX('Smelter Look-up'!$A:$A,MATCH($A2338,'Smelter Look-up'!$E:$E,0)))</f>
        <v/>
      </c>
      <c r="C2338" s="179" t="str">
        <f>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330"/>
        <v/>
      </c>
      <c r="T2338" s="174" t="str">
        <f ca="1">IF(B2338="","",IF(ISERROR(MATCH($J2338,SorP!$B$1:$B$6279,0)),"",INDIRECT("'SorP'!$A$"&amp;MATCH($S2338&amp;$J2338,SorP!C:C,0))))</f>
        <v/>
      </c>
      <c r="U2338" s="194"/>
      <c r="V2338" s="218" t="e">
        <f>IF(C2338="",NA(),IF(OR(C2338="Smelter not listed",C2338="Smelter not yet identified"),MATCH($B2338&amp;$D2338,'Smelter Look-up'!$J:$J,0),MATCH($B2338&amp;$C2338,'Smelter Look-up'!$J:$J,0)))</f>
        <v>#N/A</v>
      </c>
      <c r="X2338" s="219">
        <f t="shared" ca="1" si="331"/>
        <v>0</v>
      </c>
      <c r="AB2338" s="220" t="str">
        <f t="shared" si="332"/>
        <v/>
      </c>
    </row>
    <row r="2339" spans="1:28" s="219" customFormat="1" ht="20.25">
      <c r="A2339" s="174"/>
      <c r="B2339" s="175" t="str">
        <f>IF(LEN(A2339)=0,"",INDEX('Smelter Look-up'!$A:$A,MATCH($A2339,'Smelter Look-up'!$E:$E,0)))</f>
        <v/>
      </c>
      <c r="C2339" s="179" t="str">
        <f>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330"/>
        <v/>
      </c>
      <c r="T2339" s="174" t="str">
        <f ca="1">IF(B2339="","",IF(ISERROR(MATCH($J2339,SorP!$B$1:$B$6279,0)),"",INDIRECT("'SorP'!$A$"&amp;MATCH($S2339&amp;$J2339,SorP!C:C,0))))</f>
        <v/>
      </c>
      <c r="U2339" s="194"/>
      <c r="V2339" s="218" t="e">
        <f>IF(C2339="",NA(),IF(OR(C2339="Smelter not listed",C2339="Smelter not yet identified"),MATCH($B2339&amp;$D2339,'Smelter Look-up'!$J:$J,0),MATCH($B2339&amp;$C2339,'Smelter Look-up'!$J:$J,0)))</f>
        <v>#N/A</v>
      </c>
      <c r="X2339" s="219">
        <f t="shared" ca="1" si="331"/>
        <v>0</v>
      </c>
      <c r="AB2339" s="220" t="str">
        <f t="shared" si="332"/>
        <v/>
      </c>
    </row>
    <row r="2340" spans="1:28" s="219" customFormat="1" ht="20.25">
      <c r="A2340" s="174"/>
      <c r="B2340" s="175" t="str">
        <f>IF(LEN(A2340)=0,"",INDEX('Smelter Look-up'!$A:$A,MATCH($A2340,'Smelter Look-up'!$E:$E,0)))</f>
        <v/>
      </c>
      <c r="C2340" s="179" t="str">
        <f>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330"/>
        <v/>
      </c>
      <c r="T2340" s="174" t="str">
        <f ca="1">IF(B2340="","",IF(ISERROR(MATCH($J2340,SorP!$B$1:$B$6279,0)),"",INDIRECT("'SorP'!$A$"&amp;MATCH($S2340&amp;$J2340,SorP!C:C,0))))</f>
        <v/>
      </c>
      <c r="U2340" s="194"/>
      <c r="V2340" s="218" t="e">
        <f>IF(C2340="",NA(),IF(OR(C2340="Smelter not listed",C2340="Smelter not yet identified"),MATCH($B2340&amp;$D2340,'Smelter Look-up'!$J:$J,0),MATCH($B2340&amp;$C2340,'Smelter Look-up'!$J:$J,0)))</f>
        <v>#N/A</v>
      </c>
      <c r="X2340" s="219">
        <f t="shared" ca="1" si="331"/>
        <v>0</v>
      </c>
      <c r="AB2340" s="220" t="str">
        <f t="shared" si="332"/>
        <v/>
      </c>
    </row>
    <row r="2341" spans="1:28" s="219" customFormat="1" ht="20.25">
      <c r="A2341" s="174"/>
      <c r="B2341" s="175" t="str">
        <f>IF(LEN(A2341)=0,"",INDEX('Smelter Look-up'!$A:$A,MATCH($A2341,'Smelter Look-up'!$E:$E,0)))</f>
        <v/>
      </c>
      <c r="C2341" s="179" t="str">
        <f>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330"/>
        <v/>
      </c>
      <c r="T2341" s="174" t="str">
        <f ca="1">IF(B2341="","",IF(ISERROR(MATCH($J2341,SorP!$B$1:$B$6279,0)),"",INDIRECT("'SorP'!$A$"&amp;MATCH($S2341&amp;$J2341,SorP!C:C,0))))</f>
        <v/>
      </c>
      <c r="U2341" s="194"/>
      <c r="V2341" s="218" t="e">
        <f>IF(C2341="",NA(),IF(OR(C2341="Smelter not listed",C2341="Smelter not yet identified"),MATCH($B2341&amp;$D2341,'Smelter Look-up'!$J:$J,0),MATCH($B2341&amp;$C2341,'Smelter Look-up'!$J:$J,0)))</f>
        <v>#N/A</v>
      </c>
      <c r="X2341" s="219">
        <f t="shared" ca="1" si="331"/>
        <v>0</v>
      </c>
      <c r="AB2341" s="220" t="str">
        <f t="shared" si="332"/>
        <v/>
      </c>
    </row>
    <row r="2342" spans="1:28" s="219" customFormat="1" ht="20.25">
      <c r="A2342" s="174"/>
      <c r="B2342" s="175" t="str">
        <f>IF(LEN(A2342)=0,"",INDEX('Smelter Look-up'!$A:$A,MATCH($A2342,'Smelter Look-up'!$E:$E,0)))</f>
        <v/>
      </c>
      <c r="C2342" s="179" t="str">
        <f>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330"/>
        <v/>
      </c>
      <c r="T2342" s="174" t="str">
        <f ca="1">IF(B2342="","",IF(ISERROR(MATCH($J2342,SorP!$B$1:$B$6279,0)),"",INDIRECT("'SorP'!$A$"&amp;MATCH($S2342&amp;$J2342,SorP!C:C,0))))</f>
        <v/>
      </c>
      <c r="U2342" s="194"/>
      <c r="V2342" s="218" t="e">
        <f>IF(C2342="",NA(),IF(OR(C2342="Smelter not listed",C2342="Smelter not yet identified"),MATCH($B2342&amp;$D2342,'Smelter Look-up'!$J:$J,0),MATCH($B2342&amp;$C2342,'Smelter Look-up'!$J:$J,0)))</f>
        <v>#N/A</v>
      </c>
      <c r="X2342" s="219">
        <f t="shared" ca="1" si="331"/>
        <v>0</v>
      </c>
      <c r="AB2342" s="220" t="str">
        <f t="shared" si="332"/>
        <v/>
      </c>
    </row>
    <row r="2343" spans="1:28" s="219" customFormat="1" ht="20.25">
      <c r="A2343" s="174"/>
      <c r="B2343" s="175" t="str">
        <f>IF(LEN(A2343)=0,"",INDEX('Smelter Look-up'!$A:$A,MATCH($A2343,'Smelter Look-up'!$E:$E,0)))</f>
        <v/>
      </c>
      <c r="C2343" s="179" t="str">
        <f>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330"/>
        <v/>
      </c>
      <c r="T2343" s="174" t="str">
        <f ca="1">IF(B2343="","",IF(ISERROR(MATCH($J2343,SorP!$B$1:$B$6279,0)),"",INDIRECT("'SorP'!$A$"&amp;MATCH($S2343&amp;$J2343,SorP!C:C,0))))</f>
        <v/>
      </c>
      <c r="U2343" s="194"/>
      <c r="V2343" s="218" t="e">
        <f>IF(C2343="",NA(),IF(OR(C2343="Smelter not listed",C2343="Smelter not yet identified"),MATCH($B2343&amp;$D2343,'Smelter Look-up'!$J:$J,0),MATCH($B2343&amp;$C2343,'Smelter Look-up'!$J:$J,0)))</f>
        <v>#N/A</v>
      </c>
      <c r="X2343" s="219">
        <f t="shared" ca="1" si="331"/>
        <v>0</v>
      </c>
      <c r="AB2343" s="220" t="str">
        <f t="shared" si="332"/>
        <v/>
      </c>
    </row>
    <row r="2344" spans="1:28" s="219" customFormat="1" ht="20.25">
      <c r="A2344" s="174"/>
      <c r="B2344" s="175" t="str">
        <f>IF(LEN(A2344)=0,"",INDEX('Smelter Look-up'!$A:$A,MATCH($A2344,'Smelter Look-up'!$E:$E,0)))</f>
        <v/>
      </c>
      <c r="C2344" s="179" t="str">
        <f>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330"/>
        <v/>
      </c>
      <c r="T2344" s="174" t="str">
        <f ca="1">IF(B2344="","",IF(ISERROR(MATCH($J2344,SorP!$B$1:$B$6279,0)),"",INDIRECT("'SorP'!$A$"&amp;MATCH($S2344&amp;$J2344,SorP!C:C,0))))</f>
        <v/>
      </c>
      <c r="U2344" s="194"/>
      <c r="V2344" s="218" t="e">
        <f>IF(C2344="",NA(),IF(OR(C2344="Smelter not listed",C2344="Smelter not yet identified"),MATCH($B2344&amp;$D2344,'Smelter Look-up'!$J:$J,0),MATCH($B2344&amp;$C2344,'Smelter Look-up'!$J:$J,0)))</f>
        <v>#N/A</v>
      </c>
      <c r="X2344" s="219">
        <f t="shared" ca="1" si="331"/>
        <v>0</v>
      </c>
      <c r="AB2344" s="220" t="str">
        <f t="shared" si="332"/>
        <v/>
      </c>
    </row>
    <row r="2345" spans="1:28" s="219" customFormat="1" ht="20.25">
      <c r="A2345" s="174"/>
      <c r="B2345" s="175" t="str">
        <f>IF(LEN(A2345)=0,"",INDEX('Smelter Look-up'!$A:$A,MATCH($A2345,'Smelter Look-up'!$E:$E,0)))</f>
        <v/>
      </c>
      <c r="C2345" s="179" t="str">
        <f>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330"/>
        <v/>
      </c>
      <c r="T2345" s="174" t="str">
        <f ca="1">IF(B2345="","",IF(ISERROR(MATCH($J2345,SorP!$B$1:$B$6279,0)),"",INDIRECT("'SorP'!$A$"&amp;MATCH($S2345&amp;$J2345,SorP!C:C,0))))</f>
        <v/>
      </c>
      <c r="U2345" s="194"/>
      <c r="V2345" s="218" t="e">
        <f>IF(C2345="",NA(),IF(OR(C2345="Smelter not listed",C2345="Smelter not yet identified"),MATCH($B2345&amp;$D2345,'Smelter Look-up'!$J:$J,0),MATCH($B2345&amp;$C2345,'Smelter Look-up'!$J:$J,0)))</f>
        <v>#N/A</v>
      </c>
      <c r="X2345" s="219">
        <f t="shared" ca="1" si="331"/>
        <v>0</v>
      </c>
      <c r="AB2345" s="220" t="str">
        <f t="shared" si="332"/>
        <v/>
      </c>
    </row>
    <row r="2346" spans="1:28" s="219" customFormat="1" ht="20.25">
      <c r="A2346" s="174"/>
      <c r="B2346" s="175" t="str">
        <f>IF(LEN(A2346)=0,"",INDEX('Smelter Look-up'!$A:$A,MATCH($A2346,'Smelter Look-up'!$E:$E,0)))</f>
        <v/>
      </c>
      <c r="C2346" s="179" t="str">
        <f>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330"/>
        <v/>
      </c>
      <c r="T2346" s="174" t="str">
        <f ca="1">IF(B2346="","",IF(ISERROR(MATCH($J2346,SorP!$B$1:$B$6279,0)),"",INDIRECT("'SorP'!$A$"&amp;MATCH($S2346&amp;$J2346,SorP!C:C,0))))</f>
        <v/>
      </c>
      <c r="U2346" s="194"/>
      <c r="V2346" s="218" t="e">
        <f>IF(C2346="",NA(),IF(OR(C2346="Smelter not listed",C2346="Smelter not yet identified"),MATCH($B2346&amp;$D2346,'Smelter Look-up'!$J:$J,0),MATCH($B2346&amp;$C2346,'Smelter Look-up'!$J:$J,0)))</f>
        <v>#N/A</v>
      </c>
      <c r="X2346" s="219">
        <f t="shared" ca="1" si="331"/>
        <v>0</v>
      </c>
      <c r="AB2346" s="220" t="str">
        <f t="shared" si="332"/>
        <v/>
      </c>
    </row>
    <row r="2347" spans="1:28" s="219" customFormat="1" ht="20.25">
      <c r="A2347" s="174"/>
      <c r="B2347" s="175" t="str">
        <f>IF(LEN(A2347)=0,"",INDEX('Smelter Look-up'!$A:$A,MATCH($A2347,'Smelter Look-up'!$E:$E,0)))</f>
        <v/>
      </c>
      <c r="C2347" s="179" t="str">
        <f>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330"/>
        <v/>
      </c>
      <c r="T2347" s="174" t="str">
        <f ca="1">IF(B2347="","",IF(ISERROR(MATCH($J2347,SorP!$B$1:$B$6279,0)),"",INDIRECT("'SorP'!$A$"&amp;MATCH($S2347&amp;$J2347,SorP!C:C,0))))</f>
        <v/>
      </c>
      <c r="U2347" s="194"/>
      <c r="V2347" s="218" t="e">
        <f>IF(C2347="",NA(),IF(OR(C2347="Smelter not listed",C2347="Smelter not yet identified"),MATCH($B2347&amp;$D2347,'Smelter Look-up'!$J:$J,0),MATCH($B2347&amp;$C2347,'Smelter Look-up'!$J:$J,0)))</f>
        <v>#N/A</v>
      </c>
      <c r="X2347" s="219">
        <f t="shared" ca="1" si="331"/>
        <v>0</v>
      </c>
      <c r="AB2347" s="220" t="str">
        <f t="shared" si="332"/>
        <v/>
      </c>
    </row>
    <row r="2348" spans="1:28" s="219" customFormat="1" ht="20.25">
      <c r="A2348" s="174"/>
      <c r="B2348" s="175" t="str">
        <f>IF(LEN(A2348)=0,"",INDEX('Smelter Look-up'!$A:$A,MATCH($A2348,'Smelter Look-up'!$E:$E,0)))</f>
        <v/>
      </c>
      <c r="C2348" s="179" t="str">
        <f>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330"/>
        <v/>
      </c>
      <c r="T2348" s="174" t="str">
        <f ca="1">IF(B2348="","",IF(ISERROR(MATCH($J2348,SorP!$B$1:$B$6279,0)),"",INDIRECT("'SorP'!$A$"&amp;MATCH($S2348&amp;$J2348,SorP!C:C,0))))</f>
        <v/>
      </c>
      <c r="U2348" s="194"/>
      <c r="V2348" s="218" t="e">
        <f>IF(C2348="",NA(),IF(OR(C2348="Smelter not listed",C2348="Smelter not yet identified"),MATCH($B2348&amp;$D2348,'Smelter Look-up'!$J:$J,0),MATCH($B2348&amp;$C2348,'Smelter Look-up'!$J:$J,0)))</f>
        <v>#N/A</v>
      </c>
      <c r="X2348" s="219">
        <f t="shared" ca="1" si="331"/>
        <v>0</v>
      </c>
      <c r="AB2348" s="220" t="str">
        <f t="shared" si="332"/>
        <v/>
      </c>
    </row>
    <row r="2349" spans="1:28" s="219" customFormat="1" ht="20.25">
      <c r="A2349" s="174"/>
      <c r="B2349" s="175" t="str">
        <f>IF(LEN(A2349)=0,"",INDEX('Smelter Look-up'!$A:$A,MATCH($A2349,'Smelter Look-up'!$E:$E,0)))</f>
        <v/>
      </c>
      <c r="C2349" s="179" t="str">
        <f>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330"/>
        <v/>
      </c>
      <c r="T2349" s="174" t="str">
        <f ca="1">IF(B2349="","",IF(ISERROR(MATCH($J2349,SorP!$B$1:$B$6279,0)),"",INDIRECT("'SorP'!$A$"&amp;MATCH($S2349&amp;$J2349,SorP!C:C,0))))</f>
        <v/>
      </c>
      <c r="U2349" s="194"/>
      <c r="V2349" s="218" t="e">
        <f>IF(C2349="",NA(),IF(OR(C2349="Smelter not listed",C2349="Smelter not yet identified"),MATCH($B2349&amp;$D2349,'Smelter Look-up'!$J:$J,0),MATCH($B2349&amp;$C2349,'Smelter Look-up'!$J:$J,0)))</f>
        <v>#N/A</v>
      </c>
      <c r="X2349" s="219">
        <f t="shared" ca="1" si="331"/>
        <v>0</v>
      </c>
      <c r="AB2349" s="220" t="str">
        <f t="shared" si="332"/>
        <v/>
      </c>
    </row>
    <row r="2350" spans="1:28" s="219" customFormat="1" ht="20.25">
      <c r="A2350" s="174"/>
      <c r="B2350" s="175" t="str">
        <f>IF(LEN(A2350)=0,"",INDEX('Smelter Look-up'!$A:$A,MATCH($A2350,'Smelter Look-up'!$E:$E,0)))</f>
        <v/>
      </c>
      <c r="C2350" s="179" t="str">
        <f>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330"/>
        <v/>
      </c>
      <c r="T2350" s="174" t="str">
        <f ca="1">IF(B2350="","",IF(ISERROR(MATCH($J2350,SorP!$B$1:$B$6279,0)),"",INDIRECT("'SorP'!$A$"&amp;MATCH($S2350&amp;$J2350,SorP!C:C,0))))</f>
        <v/>
      </c>
      <c r="U2350" s="194"/>
      <c r="V2350" s="218" t="e">
        <f>IF(C2350="",NA(),IF(OR(C2350="Smelter not listed",C2350="Smelter not yet identified"),MATCH($B2350&amp;$D2350,'Smelter Look-up'!$J:$J,0),MATCH($B2350&amp;$C2350,'Smelter Look-up'!$J:$J,0)))</f>
        <v>#N/A</v>
      </c>
      <c r="X2350" s="219">
        <f t="shared" ca="1" si="331"/>
        <v>0</v>
      </c>
      <c r="AB2350" s="220" t="str">
        <f t="shared" si="332"/>
        <v/>
      </c>
    </row>
    <row r="2351" spans="1:28" s="219" customFormat="1" ht="20.25">
      <c r="A2351" s="174"/>
      <c r="B2351" s="175" t="str">
        <f>IF(LEN(A2351)=0,"",INDEX('Smelter Look-up'!$A:$A,MATCH($A2351,'Smelter Look-up'!$E:$E,0)))</f>
        <v/>
      </c>
      <c r="C2351" s="179" t="str">
        <f>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330"/>
        <v/>
      </c>
      <c r="T2351" s="174" t="str">
        <f ca="1">IF(B2351="","",IF(ISERROR(MATCH($J2351,SorP!$B$1:$B$6279,0)),"",INDIRECT("'SorP'!$A$"&amp;MATCH($S2351&amp;$J2351,SorP!C:C,0))))</f>
        <v/>
      </c>
      <c r="U2351" s="194"/>
      <c r="V2351" s="218" t="e">
        <f>IF(C2351="",NA(),IF(OR(C2351="Smelter not listed",C2351="Smelter not yet identified"),MATCH($B2351&amp;$D2351,'Smelter Look-up'!$J:$J,0),MATCH($B2351&amp;$C2351,'Smelter Look-up'!$J:$J,0)))</f>
        <v>#N/A</v>
      </c>
      <c r="X2351" s="219">
        <f t="shared" ca="1" si="331"/>
        <v>0</v>
      </c>
      <c r="AB2351" s="220" t="str">
        <f t="shared" si="332"/>
        <v/>
      </c>
    </row>
    <row r="2352" spans="1:28" s="219" customFormat="1" ht="20.25">
      <c r="A2352" s="174"/>
      <c r="B2352" s="175" t="str">
        <f>IF(LEN(A2352)=0,"",INDEX('Smelter Look-up'!$A:$A,MATCH($A2352,'Smelter Look-up'!$E:$E,0)))</f>
        <v/>
      </c>
      <c r="C2352" s="179" t="str">
        <f>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330"/>
        <v/>
      </c>
      <c r="T2352" s="174" t="str">
        <f ca="1">IF(B2352="","",IF(ISERROR(MATCH($J2352,SorP!$B$1:$B$6279,0)),"",INDIRECT("'SorP'!$A$"&amp;MATCH($S2352&amp;$J2352,SorP!C:C,0))))</f>
        <v/>
      </c>
      <c r="U2352" s="194"/>
      <c r="V2352" s="218" t="e">
        <f>IF(C2352="",NA(),IF(OR(C2352="Smelter not listed",C2352="Smelter not yet identified"),MATCH($B2352&amp;$D2352,'Smelter Look-up'!$J:$J,0),MATCH($B2352&amp;$C2352,'Smelter Look-up'!$J:$J,0)))</f>
        <v>#N/A</v>
      </c>
      <c r="X2352" s="219">
        <f t="shared" ca="1" si="331"/>
        <v>0</v>
      </c>
      <c r="AB2352" s="220" t="str">
        <f t="shared" si="332"/>
        <v/>
      </c>
    </row>
    <row r="2353" spans="1:28" s="219" customFormat="1" ht="20.25">
      <c r="A2353" s="174"/>
      <c r="B2353" s="175" t="str">
        <f>IF(LEN(A2353)=0,"",INDEX('Smelter Look-up'!$A:$A,MATCH($A2353,'Smelter Look-up'!$E:$E,0)))</f>
        <v/>
      </c>
      <c r="C2353" s="179" t="str">
        <f>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330"/>
        <v/>
      </c>
      <c r="T2353" s="174" t="str">
        <f ca="1">IF(B2353="","",IF(ISERROR(MATCH($J2353,SorP!$B$1:$B$6279,0)),"",INDIRECT("'SorP'!$A$"&amp;MATCH($S2353&amp;$J2353,SorP!C:C,0))))</f>
        <v/>
      </c>
      <c r="U2353" s="194"/>
      <c r="V2353" s="218" t="e">
        <f>IF(C2353="",NA(),IF(OR(C2353="Smelter not listed",C2353="Smelter not yet identified"),MATCH($B2353&amp;$D2353,'Smelter Look-up'!$J:$J,0),MATCH($B2353&amp;$C2353,'Smelter Look-up'!$J:$J,0)))</f>
        <v>#N/A</v>
      </c>
      <c r="X2353" s="219">
        <f t="shared" ca="1" si="331"/>
        <v>0</v>
      </c>
      <c r="AB2353" s="220" t="str">
        <f t="shared" si="332"/>
        <v/>
      </c>
    </row>
    <row r="2354" spans="1:28" s="219" customFormat="1" ht="20.25">
      <c r="A2354" s="174"/>
      <c r="B2354" s="175" t="str">
        <f>IF(LEN(A2354)=0,"",INDEX('Smelter Look-up'!$A:$A,MATCH($A2354,'Smelter Look-up'!$E:$E,0)))</f>
        <v/>
      </c>
      <c r="C2354" s="179" t="str">
        <f>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330"/>
        <v/>
      </c>
      <c r="T2354" s="174" t="str">
        <f ca="1">IF(B2354="","",IF(ISERROR(MATCH($J2354,SorP!$B$1:$B$6279,0)),"",INDIRECT("'SorP'!$A$"&amp;MATCH($S2354&amp;$J2354,SorP!C:C,0))))</f>
        <v/>
      </c>
      <c r="U2354" s="194"/>
      <c r="V2354" s="218" t="e">
        <f>IF(C2354="",NA(),IF(OR(C2354="Smelter not listed",C2354="Smelter not yet identified"),MATCH($B2354&amp;$D2354,'Smelter Look-up'!$J:$J,0),MATCH($B2354&amp;$C2354,'Smelter Look-up'!$J:$J,0)))</f>
        <v>#N/A</v>
      </c>
      <c r="X2354" s="219">
        <f t="shared" ca="1" si="331"/>
        <v>0</v>
      </c>
      <c r="AB2354" s="220" t="str">
        <f t="shared" si="332"/>
        <v/>
      </c>
    </row>
    <row r="2355" spans="1:28" s="219" customFormat="1" ht="20.25">
      <c r="A2355" s="174"/>
      <c r="B2355" s="175" t="str">
        <f>IF(LEN(A2355)=0,"",INDEX('Smelter Look-up'!$A:$A,MATCH($A2355,'Smelter Look-up'!$E:$E,0)))</f>
        <v/>
      </c>
      <c r="C2355" s="179" t="str">
        <f>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330"/>
        <v/>
      </c>
      <c r="T2355" s="174" t="str">
        <f ca="1">IF(B2355="","",IF(ISERROR(MATCH($J2355,SorP!$B$1:$B$6279,0)),"",INDIRECT("'SorP'!$A$"&amp;MATCH($S2355&amp;$J2355,SorP!C:C,0))))</f>
        <v/>
      </c>
      <c r="U2355" s="194"/>
      <c r="V2355" s="218" t="e">
        <f>IF(C2355="",NA(),IF(OR(C2355="Smelter not listed",C2355="Smelter not yet identified"),MATCH($B2355&amp;$D2355,'Smelter Look-up'!$J:$J,0),MATCH($B2355&amp;$C2355,'Smelter Look-up'!$J:$J,0)))</f>
        <v>#N/A</v>
      </c>
      <c r="X2355" s="219">
        <f t="shared" ca="1" si="331"/>
        <v>0</v>
      </c>
      <c r="AB2355" s="220" t="str">
        <f t="shared" si="332"/>
        <v/>
      </c>
    </row>
    <row r="2356" spans="1:28" s="219" customFormat="1" ht="20.25">
      <c r="A2356" s="174"/>
      <c r="B2356" s="175" t="str">
        <f>IF(LEN(A2356)=0,"",INDEX('Smelter Look-up'!$A:$A,MATCH($A2356,'Smelter Look-up'!$E:$E,0)))</f>
        <v/>
      </c>
      <c r="C2356" s="179" t="str">
        <f>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330"/>
        <v/>
      </c>
      <c r="T2356" s="174" t="str">
        <f ca="1">IF(B2356="","",IF(ISERROR(MATCH($J2356,SorP!$B$1:$B$6279,0)),"",INDIRECT("'SorP'!$A$"&amp;MATCH($S2356&amp;$J2356,SorP!C:C,0))))</f>
        <v/>
      </c>
      <c r="U2356" s="194"/>
      <c r="V2356" s="218" t="e">
        <f>IF(C2356="",NA(),IF(OR(C2356="Smelter not listed",C2356="Smelter not yet identified"),MATCH($B2356&amp;$D2356,'Smelter Look-up'!$J:$J,0),MATCH($B2356&amp;$C2356,'Smelter Look-up'!$J:$J,0)))</f>
        <v>#N/A</v>
      </c>
      <c r="X2356" s="219">
        <f t="shared" ca="1" si="331"/>
        <v>0</v>
      </c>
      <c r="AB2356" s="220" t="str">
        <f t="shared" si="332"/>
        <v/>
      </c>
    </row>
    <row r="2357" spans="1:28" s="219" customFormat="1" ht="20.25">
      <c r="A2357" s="174"/>
      <c r="B2357" s="175" t="str">
        <f>IF(LEN(A2357)=0,"",INDEX('Smelter Look-up'!$A:$A,MATCH($A2357,'Smelter Look-up'!$E:$E,0)))</f>
        <v/>
      </c>
      <c r="C2357" s="179" t="str">
        <f>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330"/>
        <v/>
      </c>
      <c r="T2357" s="174" t="str">
        <f ca="1">IF(B2357="","",IF(ISERROR(MATCH($J2357,SorP!$B$1:$B$6279,0)),"",INDIRECT("'SorP'!$A$"&amp;MATCH($S2357&amp;$J2357,SorP!C:C,0))))</f>
        <v/>
      </c>
      <c r="U2357" s="194"/>
      <c r="V2357" s="218" t="e">
        <f>IF(C2357="",NA(),IF(OR(C2357="Smelter not listed",C2357="Smelter not yet identified"),MATCH($B2357&amp;$D2357,'Smelter Look-up'!$J:$J,0),MATCH($B2357&amp;$C2357,'Smelter Look-up'!$J:$J,0)))</f>
        <v>#N/A</v>
      </c>
      <c r="X2357" s="219">
        <f t="shared" ca="1" si="331"/>
        <v>0</v>
      </c>
      <c r="AB2357" s="220" t="str">
        <f t="shared" si="332"/>
        <v/>
      </c>
    </row>
    <row r="2358" spans="1:28" s="219" customFormat="1" ht="20.25">
      <c r="A2358" s="174"/>
      <c r="B2358" s="175" t="str">
        <f>IF(LEN(A2358)=0,"",INDEX('Smelter Look-up'!$A:$A,MATCH($A2358,'Smelter Look-up'!$E:$E,0)))</f>
        <v/>
      </c>
      <c r="C2358" s="179" t="str">
        <f>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330"/>
        <v/>
      </c>
      <c r="T2358" s="174" t="str">
        <f ca="1">IF(B2358="","",IF(ISERROR(MATCH($J2358,SorP!$B$1:$B$6279,0)),"",INDIRECT("'SorP'!$A$"&amp;MATCH($S2358&amp;$J2358,SorP!C:C,0))))</f>
        <v/>
      </c>
      <c r="U2358" s="194"/>
      <c r="V2358" s="218" t="e">
        <f>IF(C2358="",NA(),IF(OR(C2358="Smelter not listed",C2358="Smelter not yet identified"),MATCH($B2358&amp;$D2358,'Smelter Look-up'!$J:$J,0),MATCH($B2358&amp;$C2358,'Smelter Look-up'!$J:$J,0)))</f>
        <v>#N/A</v>
      </c>
      <c r="X2358" s="219">
        <f t="shared" ca="1" si="331"/>
        <v>0</v>
      </c>
      <c r="AB2358" s="220" t="str">
        <f t="shared" si="332"/>
        <v/>
      </c>
    </row>
    <row r="2359" spans="1:28" s="219" customFormat="1" ht="20.25">
      <c r="A2359" s="174"/>
      <c r="B2359" s="175" t="str">
        <f>IF(LEN(A2359)=0,"",INDEX('Smelter Look-up'!$A:$A,MATCH($A2359,'Smelter Look-up'!$E:$E,0)))</f>
        <v/>
      </c>
      <c r="C2359" s="179" t="str">
        <f>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330"/>
        <v/>
      </c>
      <c r="T2359" s="174" t="str">
        <f ca="1">IF(B2359="","",IF(ISERROR(MATCH($J2359,SorP!$B$1:$B$6279,0)),"",INDIRECT("'SorP'!$A$"&amp;MATCH($S2359&amp;$J2359,SorP!C:C,0))))</f>
        <v/>
      </c>
      <c r="U2359" s="194"/>
      <c r="V2359" s="218" t="e">
        <f>IF(C2359="",NA(),IF(OR(C2359="Smelter not listed",C2359="Smelter not yet identified"),MATCH($B2359&amp;$D2359,'Smelter Look-up'!$J:$J,0),MATCH($B2359&amp;$C2359,'Smelter Look-up'!$J:$J,0)))</f>
        <v>#N/A</v>
      </c>
      <c r="X2359" s="219">
        <f t="shared" ca="1" si="331"/>
        <v>0</v>
      </c>
      <c r="AB2359" s="220" t="str">
        <f t="shared" si="332"/>
        <v/>
      </c>
    </row>
    <row r="2360" spans="1:28" s="219" customFormat="1" ht="20.25">
      <c r="A2360" s="174"/>
      <c r="B2360" s="175" t="str">
        <f>IF(LEN(A2360)=0,"",INDEX('Smelter Look-up'!$A:$A,MATCH($A2360,'Smelter Look-up'!$E:$E,0)))</f>
        <v/>
      </c>
      <c r="C2360" s="179" t="str">
        <f>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330"/>
        <v/>
      </c>
      <c r="T2360" s="174" t="str">
        <f ca="1">IF(B2360="","",IF(ISERROR(MATCH($J2360,SorP!$B$1:$B$6279,0)),"",INDIRECT("'SorP'!$A$"&amp;MATCH($S2360&amp;$J2360,SorP!C:C,0))))</f>
        <v/>
      </c>
      <c r="U2360" s="194"/>
      <c r="V2360" s="218" t="e">
        <f>IF(C2360="",NA(),IF(OR(C2360="Smelter not listed",C2360="Smelter not yet identified"),MATCH($B2360&amp;$D2360,'Smelter Look-up'!$J:$J,0),MATCH($B2360&amp;$C2360,'Smelter Look-up'!$J:$J,0)))</f>
        <v>#N/A</v>
      </c>
      <c r="X2360" s="219">
        <f t="shared" ca="1" si="331"/>
        <v>0</v>
      </c>
      <c r="AB2360" s="220" t="str">
        <f t="shared" si="332"/>
        <v/>
      </c>
    </row>
    <row r="2361" spans="1:28" s="219" customFormat="1" ht="20.25">
      <c r="A2361" s="174"/>
      <c r="B2361" s="175" t="str">
        <f>IF(LEN(A2361)=0,"",INDEX('Smelter Look-up'!$A:$A,MATCH($A2361,'Smelter Look-up'!$E:$E,0)))</f>
        <v/>
      </c>
      <c r="C2361" s="179" t="str">
        <f>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ca="1" si="330"/>
        <v/>
      </c>
      <c r="T2361" s="174" t="str">
        <f ca="1">IF(B2361="","",IF(ISERROR(MATCH($J2361,SorP!$B$1:$B$6279,0)),"",INDIRECT("'SorP'!$A$"&amp;MATCH($S2361&amp;$J2361,SorP!C:C,0))))</f>
        <v/>
      </c>
      <c r="U2361" s="194"/>
      <c r="V2361" s="218" t="e">
        <f>IF(C2361="",NA(),IF(OR(C2361="Smelter not listed",C2361="Smelter not yet identified"),MATCH($B2361&amp;$D2361,'Smelter Look-up'!$J:$J,0),MATCH($B2361&amp;$C2361,'Smelter Look-up'!$J:$J,0)))</f>
        <v>#N/A</v>
      </c>
      <c r="X2361" s="219">
        <f t="shared" ca="1" si="331"/>
        <v>0</v>
      </c>
      <c r="AB2361" s="220" t="str">
        <f t="shared" si="332"/>
        <v/>
      </c>
    </row>
    <row r="2362" spans="1:28" s="219" customFormat="1" ht="20.25">
      <c r="A2362" s="174"/>
      <c r="B2362" s="175" t="str">
        <f>IF(LEN(A2362)=0,"",INDEX('Smelter Look-up'!$A:$A,MATCH($A2362,'Smelter Look-up'!$E:$E,0)))</f>
        <v/>
      </c>
      <c r="C2362" s="179" t="str">
        <f>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ca="1" si="330"/>
        <v/>
      </c>
      <c r="T2362" s="174" t="str">
        <f ca="1">IF(B2362="","",IF(ISERROR(MATCH($J2362,SorP!$B$1:$B$6279,0)),"",INDIRECT("'SorP'!$A$"&amp;MATCH($S2362&amp;$J2362,SorP!C:C,0))))</f>
        <v/>
      </c>
      <c r="U2362" s="194"/>
      <c r="V2362" s="218" t="e">
        <f>IF(C2362="",NA(),IF(OR(C2362="Smelter not listed",C2362="Smelter not yet identified"),MATCH($B2362&amp;$D2362,'Smelter Look-up'!$J:$J,0),MATCH($B2362&amp;$C2362,'Smelter Look-up'!$J:$J,0)))</f>
        <v>#N/A</v>
      </c>
      <c r="X2362" s="219">
        <f t="shared" ca="1" si="331"/>
        <v>0</v>
      </c>
      <c r="AB2362" s="220" t="str">
        <f t="shared" si="332"/>
        <v/>
      </c>
    </row>
    <row r="2363" spans="1:28" s="219" customFormat="1" ht="20.25">
      <c r="A2363" s="174"/>
      <c r="B2363" s="175" t="str">
        <f>IF(LEN(A2363)=0,"",INDEX('Smelter Look-up'!$A:$A,MATCH($A2363,'Smelter Look-up'!$E:$E,0)))</f>
        <v/>
      </c>
      <c r="C2363" s="179" t="str">
        <f>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t="shared" ref="S2363" ca="1" si="333">IF(B2363="","",IF(ISERROR(MATCH($E2363,CL,0)),"Unknown",INDIRECT("'C'!$A$"&amp;MATCH($E2363,CL,0)+1)))</f>
        <v/>
      </c>
      <c r="T2363" s="174" t="str">
        <f ca="1">IF(B2363="","",IF(ISERROR(MATCH($J2363,SorP!$B$1:$B$6279,0)),"",INDIRECT("'SorP'!$A$"&amp;MATCH($S2363&amp;$J2363,SorP!C:C,0))))</f>
        <v/>
      </c>
      <c r="U2363" s="194"/>
      <c r="V2363" s="218" t="e">
        <f>IF(C2363="",NA(),IF(OR(C2363="Smelter not listed",C2363="Smelter not yet identified"),MATCH($B2363&amp;$D2363,'Smelter Look-up'!$J:$J,0),MATCH($B2363&amp;$C2363,'Smelter Look-up'!$J:$J,0)))</f>
        <v>#N/A</v>
      </c>
      <c r="X2363" s="219">
        <f t="shared" ref="X2363" ca="1" si="334">IF(AND(C2363="Smelter not listed",OR(LEN(D2363)=0,LEN(E2363)=0)),1,0)</f>
        <v>0</v>
      </c>
      <c r="AB2363" s="220" t="str">
        <f t="shared" ref="AB2363" si="335">B2363&amp;C2363</f>
        <v/>
      </c>
    </row>
    <row r="2364" spans="1:28" s="219" customFormat="1" ht="20.25">
      <c r="A2364" s="174"/>
      <c r="B2364" s="175" t="str">
        <f>IF(LEN(A2364)=0,"",INDEX('Smelter Look-up'!$A:$A,MATCH($A2364,'Smelter Look-up'!$E:$E,0)))</f>
        <v/>
      </c>
      <c r="C2364" s="179" t="str">
        <f>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ref="S2364:S2395" ca="1" si="336">IF(B2364="","",IF(ISERROR(MATCH($E2364,CL,0)),"Unknown",INDIRECT("'C'!$A$"&amp;MATCH($E2364,CL,0)+1)))</f>
        <v/>
      </c>
      <c r="T2364" s="174" t="str">
        <f ca="1">IF(B2364="","",IF(ISERROR(MATCH($J2364,SorP!$B$1:$B$6279,0)),"",INDIRECT("'SorP'!$A$"&amp;MATCH($S2364&amp;$J2364,SorP!C:C,0))))</f>
        <v/>
      </c>
      <c r="U2364" s="194"/>
      <c r="V2364" s="218" t="e">
        <f>IF(C2364="",NA(),IF(OR(C2364="Smelter not listed",C2364="Smelter not yet identified"),MATCH($B2364&amp;$D2364,'Smelter Look-up'!$J:$J,0),MATCH($B2364&amp;$C2364,'Smelter Look-up'!$J:$J,0)))</f>
        <v>#N/A</v>
      </c>
      <c r="X2364" s="219">
        <f t="shared" ref="X2364:X2395" ca="1" si="337">IF(AND(C2364="Smelter not listed",OR(LEN(D2364)=0,LEN(E2364)=0)),1,0)</f>
        <v>0</v>
      </c>
      <c r="AB2364" s="220" t="str">
        <f t="shared" ref="AB2364:AB2395" si="338">B2364&amp;C2364</f>
        <v/>
      </c>
    </row>
    <row r="2365" spans="1:28" s="219" customFormat="1" ht="20.25">
      <c r="A2365" s="174"/>
      <c r="B2365" s="175" t="str">
        <f>IF(LEN(A2365)=0,"",INDEX('Smelter Look-up'!$A:$A,MATCH($A2365,'Smelter Look-up'!$E:$E,0)))</f>
        <v/>
      </c>
      <c r="C2365" s="179" t="str">
        <f>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336"/>
        <v/>
      </c>
      <c r="T2365" s="174" t="str">
        <f ca="1">IF(B2365="","",IF(ISERROR(MATCH($J2365,SorP!$B$1:$B$6279,0)),"",INDIRECT("'SorP'!$A$"&amp;MATCH($S2365&amp;$J2365,SorP!C:C,0))))</f>
        <v/>
      </c>
      <c r="U2365" s="194"/>
      <c r="V2365" s="218" t="e">
        <f>IF(C2365="",NA(),IF(OR(C2365="Smelter not listed",C2365="Smelter not yet identified"),MATCH($B2365&amp;$D2365,'Smelter Look-up'!$J:$J,0),MATCH($B2365&amp;$C2365,'Smelter Look-up'!$J:$J,0)))</f>
        <v>#N/A</v>
      </c>
      <c r="X2365" s="219">
        <f t="shared" ca="1" si="337"/>
        <v>0</v>
      </c>
      <c r="AB2365" s="220" t="str">
        <f t="shared" si="338"/>
        <v/>
      </c>
    </row>
    <row r="2366" spans="1:28" s="219" customFormat="1" ht="20.25">
      <c r="A2366" s="174"/>
      <c r="B2366" s="175" t="str">
        <f>IF(LEN(A2366)=0,"",INDEX('Smelter Look-up'!$A:$A,MATCH($A2366,'Smelter Look-up'!$E:$E,0)))</f>
        <v/>
      </c>
      <c r="C2366" s="179" t="str">
        <f>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336"/>
        <v/>
      </c>
      <c r="T2366" s="174" t="str">
        <f ca="1">IF(B2366="","",IF(ISERROR(MATCH($J2366,SorP!$B$1:$B$6279,0)),"",INDIRECT("'SorP'!$A$"&amp;MATCH($S2366&amp;$J2366,SorP!C:C,0))))</f>
        <v/>
      </c>
      <c r="U2366" s="194"/>
      <c r="V2366" s="218" t="e">
        <f>IF(C2366="",NA(),IF(OR(C2366="Smelter not listed",C2366="Smelter not yet identified"),MATCH($B2366&amp;$D2366,'Smelter Look-up'!$J:$J,0),MATCH($B2366&amp;$C2366,'Smelter Look-up'!$J:$J,0)))</f>
        <v>#N/A</v>
      </c>
      <c r="X2366" s="219">
        <f t="shared" ca="1" si="337"/>
        <v>0</v>
      </c>
      <c r="AB2366" s="220" t="str">
        <f t="shared" si="338"/>
        <v/>
      </c>
    </row>
    <row r="2367" spans="1:28" s="219" customFormat="1" ht="20.25">
      <c r="A2367" s="174"/>
      <c r="B2367" s="175" t="str">
        <f>IF(LEN(A2367)=0,"",INDEX('Smelter Look-up'!$A:$A,MATCH($A2367,'Smelter Look-up'!$E:$E,0)))</f>
        <v/>
      </c>
      <c r="C2367" s="179" t="str">
        <f>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336"/>
        <v/>
      </c>
      <c r="T2367" s="174" t="str">
        <f ca="1">IF(B2367="","",IF(ISERROR(MATCH($J2367,SorP!$B$1:$B$6279,0)),"",INDIRECT("'SorP'!$A$"&amp;MATCH($S2367&amp;$J2367,SorP!C:C,0))))</f>
        <v/>
      </c>
      <c r="U2367" s="194"/>
      <c r="V2367" s="218" t="e">
        <f>IF(C2367="",NA(),IF(OR(C2367="Smelter not listed",C2367="Smelter not yet identified"),MATCH($B2367&amp;$D2367,'Smelter Look-up'!$J:$J,0),MATCH($B2367&amp;$C2367,'Smelter Look-up'!$J:$J,0)))</f>
        <v>#N/A</v>
      </c>
      <c r="X2367" s="219">
        <f t="shared" ca="1" si="337"/>
        <v>0</v>
      </c>
      <c r="AB2367" s="220" t="str">
        <f t="shared" si="338"/>
        <v/>
      </c>
    </row>
    <row r="2368" spans="1:28" s="219" customFormat="1" ht="20.25">
      <c r="A2368" s="174"/>
      <c r="B2368" s="175" t="str">
        <f>IF(LEN(A2368)=0,"",INDEX('Smelter Look-up'!$A:$A,MATCH($A2368,'Smelter Look-up'!$E:$E,0)))</f>
        <v/>
      </c>
      <c r="C2368" s="179" t="str">
        <f>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336"/>
        <v/>
      </c>
      <c r="T2368" s="174" t="str">
        <f ca="1">IF(B2368="","",IF(ISERROR(MATCH($J2368,SorP!$B$1:$B$6279,0)),"",INDIRECT("'SorP'!$A$"&amp;MATCH($S2368&amp;$J2368,SorP!C:C,0))))</f>
        <v/>
      </c>
      <c r="U2368" s="194"/>
      <c r="V2368" s="218" t="e">
        <f>IF(C2368="",NA(),IF(OR(C2368="Smelter not listed",C2368="Smelter not yet identified"),MATCH($B2368&amp;$D2368,'Smelter Look-up'!$J:$J,0),MATCH($B2368&amp;$C2368,'Smelter Look-up'!$J:$J,0)))</f>
        <v>#N/A</v>
      </c>
      <c r="X2368" s="219">
        <f t="shared" ca="1" si="337"/>
        <v>0</v>
      </c>
      <c r="AB2368" s="220" t="str">
        <f t="shared" si="338"/>
        <v/>
      </c>
    </row>
    <row r="2369" spans="1:28" s="219" customFormat="1" ht="20.25">
      <c r="A2369" s="174"/>
      <c r="B2369" s="175" t="str">
        <f>IF(LEN(A2369)=0,"",INDEX('Smelter Look-up'!$A:$A,MATCH($A2369,'Smelter Look-up'!$E:$E,0)))</f>
        <v/>
      </c>
      <c r="C2369" s="179" t="str">
        <f>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336"/>
        <v/>
      </c>
      <c r="T2369" s="174" t="str">
        <f ca="1">IF(B2369="","",IF(ISERROR(MATCH($J2369,SorP!$B$1:$B$6279,0)),"",INDIRECT("'SorP'!$A$"&amp;MATCH($S2369&amp;$J2369,SorP!C:C,0))))</f>
        <v/>
      </c>
      <c r="U2369" s="194"/>
      <c r="V2369" s="218" t="e">
        <f>IF(C2369="",NA(),IF(OR(C2369="Smelter not listed",C2369="Smelter not yet identified"),MATCH($B2369&amp;$D2369,'Smelter Look-up'!$J:$J,0),MATCH($B2369&amp;$C2369,'Smelter Look-up'!$J:$J,0)))</f>
        <v>#N/A</v>
      </c>
      <c r="X2369" s="219">
        <f t="shared" ca="1" si="337"/>
        <v>0</v>
      </c>
      <c r="AB2369" s="220" t="str">
        <f t="shared" si="338"/>
        <v/>
      </c>
    </row>
    <row r="2370" spans="1:28" s="219" customFormat="1" ht="20.25">
      <c r="A2370" s="174"/>
      <c r="B2370" s="175" t="str">
        <f>IF(LEN(A2370)=0,"",INDEX('Smelter Look-up'!$A:$A,MATCH($A2370,'Smelter Look-up'!$E:$E,0)))</f>
        <v/>
      </c>
      <c r="C2370" s="179" t="str">
        <f>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336"/>
        <v/>
      </c>
      <c r="T2370" s="174" t="str">
        <f ca="1">IF(B2370="","",IF(ISERROR(MATCH($J2370,SorP!$B$1:$B$6279,0)),"",INDIRECT("'SorP'!$A$"&amp;MATCH($S2370&amp;$J2370,SorP!C:C,0))))</f>
        <v/>
      </c>
      <c r="U2370" s="194"/>
      <c r="V2370" s="218" t="e">
        <f>IF(C2370="",NA(),IF(OR(C2370="Smelter not listed",C2370="Smelter not yet identified"),MATCH($B2370&amp;$D2370,'Smelter Look-up'!$J:$J,0),MATCH($B2370&amp;$C2370,'Smelter Look-up'!$J:$J,0)))</f>
        <v>#N/A</v>
      </c>
      <c r="X2370" s="219">
        <f t="shared" ca="1" si="337"/>
        <v>0</v>
      </c>
      <c r="AB2370" s="220" t="str">
        <f t="shared" si="338"/>
        <v/>
      </c>
    </row>
    <row r="2371" spans="1:28" s="219" customFormat="1" ht="20.25">
      <c r="A2371" s="174"/>
      <c r="B2371" s="175" t="str">
        <f>IF(LEN(A2371)=0,"",INDEX('Smelter Look-up'!$A:$A,MATCH($A2371,'Smelter Look-up'!$E:$E,0)))</f>
        <v/>
      </c>
      <c r="C2371" s="179" t="str">
        <f>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336"/>
        <v/>
      </c>
      <c r="T2371" s="174" t="str">
        <f ca="1">IF(B2371="","",IF(ISERROR(MATCH($J2371,SorP!$B$1:$B$6279,0)),"",INDIRECT("'SorP'!$A$"&amp;MATCH($S2371&amp;$J2371,SorP!C:C,0))))</f>
        <v/>
      </c>
      <c r="U2371" s="194"/>
      <c r="V2371" s="218" t="e">
        <f>IF(C2371="",NA(),IF(OR(C2371="Smelter not listed",C2371="Smelter not yet identified"),MATCH($B2371&amp;$D2371,'Smelter Look-up'!$J:$J,0),MATCH($B2371&amp;$C2371,'Smelter Look-up'!$J:$J,0)))</f>
        <v>#N/A</v>
      </c>
      <c r="X2371" s="219">
        <f t="shared" ca="1" si="337"/>
        <v>0</v>
      </c>
      <c r="AB2371" s="220" t="str">
        <f t="shared" si="338"/>
        <v/>
      </c>
    </row>
    <row r="2372" spans="1:28" s="219" customFormat="1" ht="20.25">
      <c r="A2372" s="174"/>
      <c r="B2372" s="175" t="str">
        <f>IF(LEN(A2372)=0,"",INDEX('Smelter Look-up'!$A:$A,MATCH($A2372,'Smelter Look-up'!$E:$E,0)))</f>
        <v/>
      </c>
      <c r="C2372" s="179" t="str">
        <f>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336"/>
        <v/>
      </c>
      <c r="T2372" s="174" t="str">
        <f ca="1">IF(B2372="","",IF(ISERROR(MATCH($J2372,SorP!$B$1:$B$6279,0)),"",INDIRECT("'SorP'!$A$"&amp;MATCH($S2372&amp;$J2372,SorP!C:C,0))))</f>
        <v/>
      </c>
      <c r="U2372" s="194"/>
      <c r="V2372" s="218" t="e">
        <f>IF(C2372="",NA(),IF(OR(C2372="Smelter not listed",C2372="Smelter not yet identified"),MATCH($B2372&amp;$D2372,'Smelter Look-up'!$J:$J,0),MATCH($B2372&amp;$C2372,'Smelter Look-up'!$J:$J,0)))</f>
        <v>#N/A</v>
      </c>
      <c r="X2372" s="219">
        <f t="shared" ca="1" si="337"/>
        <v>0</v>
      </c>
      <c r="AB2372" s="220" t="str">
        <f t="shared" si="338"/>
        <v/>
      </c>
    </row>
    <row r="2373" spans="1:28" s="219" customFormat="1" ht="20.25">
      <c r="A2373" s="174"/>
      <c r="B2373" s="175" t="str">
        <f>IF(LEN(A2373)=0,"",INDEX('Smelter Look-up'!$A:$A,MATCH($A2373,'Smelter Look-up'!$E:$E,0)))</f>
        <v/>
      </c>
      <c r="C2373" s="179" t="str">
        <f>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336"/>
        <v/>
      </c>
      <c r="T2373" s="174" t="str">
        <f ca="1">IF(B2373="","",IF(ISERROR(MATCH($J2373,SorP!$B$1:$B$6279,0)),"",INDIRECT("'SorP'!$A$"&amp;MATCH($S2373&amp;$J2373,SorP!C:C,0))))</f>
        <v/>
      </c>
      <c r="U2373" s="194"/>
      <c r="V2373" s="218" t="e">
        <f>IF(C2373="",NA(),IF(OR(C2373="Smelter not listed",C2373="Smelter not yet identified"),MATCH($B2373&amp;$D2373,'Smelter Look-up'!$J:$J,0),MATCH($B2373&amp;$C2373,'Smelter Look-up'!$J:$J,0)))</f>
        <v>#N/A</v>
      </c>
      <c r="X2373" s="219">
        <f t="shared" ca="1" si="337"/>
        <v>0</v>
      </c>
      <c r="AB2373" s="220" t="str">
        <f t="shared" si="338"/>
        <v/>
      </c>
    </row>
    <row r="2374" spans="1:28" s="219" customFormat="1" ht="20.25">
      <c r="A2374" s="174"/>
      <c r="B2374" s="175" t="str">
        <f>IF(LEN(A2374)=0,"",INDEX('Smelter Look-up'!$A:$A,MATCH($A2374,'Smelter Look-up'!$E:$E,0)))</f>
        <v/>
      </c>
      <c r="C2374" s="179" t="str">
        <f>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336"/>
        <v/>
      </c>
      <c r="T2374" s="174" t="str">
        <f ca="1">IF(B2374="","",IF(ISERROR(MATCH($J2374,SorP!$B$1:$B$6279,0)),"",INDIRECT("'SorP'!$A$"&amp;MATCH($S2374&amp;$J2374,SorP!C:C,0))))</f>
        <v/>
      </c>
      <c r="U2374" s="194"/>
      <c r="V2374" s="218" t="e">
        <f>IF(C2374="",NA(),IF(OR(C2374="Smelter not listed",C2374="Smelter not yet identified"),MATCH($B2374&amp;$D2374,'Smelter Look-up'!$J:$J,0),MATCH($B2374&amp;$C2374,'Smelter Look-up'!$J:$J,0)))</f>
        <v>#N/A</v>
      </c>
      <c r="X2374" s="219">
        <f t="shared" ca="1" si="337"/>
        <v>0</v>
      </c>
      <c r="AB2374" s="220" t="str">
        <f t="shared" si="338"/>
        <v/>
      </c>
    </row>
    <row r="2375" spans="1:28" s="219" customFormat="1" ht="20.25">
      <c r="A2375" s="174"/>
      <c r="B2375" s="175" t="str">
        <f>IF(LEN(A2375)=0,"",INDEX('Smelter Look-up'!$A:$A,MATCH($A2375,'Smelter Look-up'!$E:$E,0)))</f>
        <v/>
      </c>
      <c r="C2375" s="179" t="str">
        <f>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336"/>
        <v/>
      </c>
      <c r="T2375" s="174" t="str">
        <f ca="1">IF(B2375="","",IF(ISERROR(MATCH($J2375,SorP!$B$1:$B$6279,0)),"",INDIRECT("'SorP'!$A$"&amp;MATCH($S2375&amp;$J2375,SorP!C:C,0))))</f>
        <v/>
      </c>
      <c r="U2375" s="194"/>
      <c r="V2375" s="218" t="e">
        <f>IF(C2375="",NA(),IF(OR(C2375="Smelter not listed",C2375="Smelter not yet identified"),MATCH($B2375&amp;$D2375,'Smelter Look-up'!$J:$J,0),MATCH($B2375&amp;$C2375,'Smelter Look-up'!$J:$J,0)))</f>
        <v>#N/A</v>
      </c>
      <c r="X2375" s="219">
        <f t="shared" ca="1" si="337"/>
        <v>0</v>
      </c>
      <c r="AB2375" s="220" t="str">
        <f t="shared" si="338"/>
        <v/>
      </c>
    </row>
    <row r="2376" spans="1:28" s="219" customFormat="1" ht="20.25">
      <c r="A2376" s="174"/>
      <c r="B2376" s="175" t="str">
        <f>IF(LEN(A2376)=0,"",INDEX('Smelter Look-up'!$A:$A,MATCH($A2376,'Smelter Look-up'!$E:$E,0)))</f>
        <v/>
      </c>
      <c r="C2376" s="179" t="str">
        <f>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336"/>
        <v/>
      </c>
      <c r="T2376" s="174" t="str">
        <f ca="1">IF(B2376="","",IF(ISERROR(MATCH($J2376,SorP!$B$1:$B$6279,0)),"",INDIRECT("'SorP'!$A$"&amp;MATCH($S2376&amp;$J2376,SorP!C:C,0))))</f>
        <v/>
      </c>
      <c r="U2376" s="194"/>
      <c r="V2376" s="218" t="e">
        <f>IF(C2376="",NA(),IF(OR(C2376="Smelter not listed",C2376="Smelter not yet identified"),MATCH($B2376&amp;$D2376,'Smelter Look-up'!$J:$J,0),MATCH($B2376&amp;$C2376,'Smelter Look-up'!$J:$J,0)))</f>
        <v>#N/A</v>
      </c>
      <c r="X2376" s="219">
        <f t="shared" ca="1" si="337"/>
        <v>0</v>
      </c>
      <c r="AB2376" s="220" t="str">
        <f t="shared" si="338"/>
        <v/>
      </c>
    </row>
    <row r="2377" spans="1:28" s="219" customFormat="1" ht="20.25">
      <c r="A2377" s="174"/>
      <c r="B2377" s="175" t="str">
        <f>IF(LEN(A2377)=0,"",INDEX('Smelter Look-up'!$A:$A,MATCH($A2377,'Smelter Look-up'!$E:$E,0)))</f>
        <v/>
      </c>
      <c r="C2377" s="179" t="str">
        <f>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336"/>
        <v/>
      </c>
      <c r="T2377" s="174" t="str">
        <f ca="1">IF(B2377="","",IF(ISERROR(MATCH($J2377,SorP!$B$1:$B$6279,0)),"",INDIRECT("'SorP'!$A$"&amp;MATCH($S2377&amp;$J2377,SorP!C:C,0))))</f>
        <v/>
      </c>
      <c r="U2377" s="194"/>
      <c r="V2377" s="218" t="e">
        <f>IF(C2377="",NA(),IF(OR(C2377="Smelter not listed",C2377="Smelter not yet identified"),MATCH($B2377&amp;$D2377,'Smelter Look-up'!$J:$J,0),MATCH($B2377&amp;$C2377,'Smelter Look-up'!$J:$J,0)))</f>
        <v>#N/A</v>
      </c>
      <c r="X2377" s="219">
        <f t="shared" ca="1" si="337"/>
        <v>0</v>
      </c>
      <c r="AB2377" s="220" t="str">
        <f t="shared" si="338"/>
        <v/>
      </c>
    </row>
    <row r="2378" spans="1:28" s="219" customFormat="1" ht="20.25">
      <c r="A2378" s="174"/>
      <c r="B2378" s="175" t="str">
        <f>IF(LEN(A2378)=0,"",INDEX('Smelter Look-up'!$A:$A,MATCH($A2378,'Smelter Look-up'!$E:$E,0)))</f>
        <v/>
      </c>
      <c r="C2378" s="179" t="str">
        <f>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336"/>
        <v/>
      </c>
      <c r="T2378" s="174" t="str">
        <f ca="1">IF(B2378="","",IF(ISERROR(MATCH($J2378,SorP!$B$1:$B$6279,0)),"",INDIRECT("'SorP'!$A$"&amp;MATCH($S2378&amp;$J2378,SorP!C:C,0))))</f>
        <v/>
      </c>
      <c r="U2378" s="194"/>
      <c r="V2378" s="218" t="e">
        <f>IF(C2378="",NA(),IF(OR(C2378="Smelter not listed",C2378="Smelter not yet identified"),MATCH($B2378&amp;$D2378,'Smelter Look-up'!$J:$J,0),MATCH($B2378&amp;$C2378,'Smelter Look-up'!$J:$J,0)))</f>
        <v>#N/A</v>
      </c>
      <c r="X2378" s="219">
        <f t="shared" ca="1" si="337"/>
        <v>0</v>
      </c>
      <c r="AB2378" s="220" t="str">
        <f t="shared" si="338"/>
        <v/>
      </c>
    </row>
    <row r="2379" spans="1:28" s="219" customFormat="1" ht="20.25">
      <c r="A2379" s="174"/>
      <c r="B2379" s="175" t="str">
        <f>IF(LEN(A2379)=0,"",INDEX('Smelter Look-up'!$A:$A,MATCH($A2379,'Smelter Look-up'!$E:$E,0)))</f>
        <v/>
      </c>
      <c r="C2379" s="179" t="str">
        <f>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336"/>
        <v/>
      </c>
      <c r="T2379" s="174" t="str">
        <f ca="1">IF(B2379="","",IF(ISERROR(MATCH($J2379,SorP!$B$1:$B$6279,0)),"",INDIRECT("'SorP'!$A$"&amp;MATCH($S2379&amp;$J2379,SorP!C:C,0))))</f>
        <v/>
      </c>
      <c r="U2379" s="194"/>
      <c r="V2379" s="218" t="e">
        <f>IF(C2379="",NA(),IF(OR(C2379="Smelter not listed",C2379="Smelter not yet identified"),MATCH($B2379&amp;$D2379,'Smelter Look-up'!$J:$J,0),MATCH($B2379&amp;$C2379,'Smelter Look-up'!$J:$J,0)))</f>
        <v>#N/A</v>
      </c>
      <c r="X2379" s="219">
        <f t="shared" ca="1" si="337"/>
        <v>0</v>
      </c>
      <c r="AB2379" s="220" t="str">
        <f t="shared" si="338"/>
        <v/>
      </c>
    </row>
    <row r="2380" spans="1:28" s="219" customFormat="1" ht="20.25">
      <c r="A2380" s="174"/>
      <c r="B2380" s="175" t="str">
        <f>IF(LEN(A2380)=0,"",INDEX('Smelter Look-up'!$A:$A,MATCH($A2380,'Smelter Look-up'!$E:$E,0)))</f>
        <v/>
      </c>
      <c r="C2380" s="179" t="str">
        <f>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336"/>
        <v/>
      </c>
      <c r="T2380" s="174" t="str">
        <f ca="1">IF(B2380="","",IF(ISERROR(MATCH($J2380,SorP!$B$1:$B$6279,0)),"",INDIRECT("'SorP'!$A$"&amp;MATCH($S2380&amp;$J2380,SorP!C:C,0))))</f>
        <v/>
      </c>
      <c r="U2380" s="194"/>
      <c r="V2380" s="218" t="e">
        <f>IF(C2380="",NA(),IF(OR(C2380="Smelter not listed",C2380="Smelter not yet identified"),MATCH($B2380&amp;$D2380,'Smelter Look-up'!$J:$J,0),MATCH($B2380&amp;$C2380,'Smelter Look-up'!$J:$J,0)))</f>
        <v>#N/A</v>
      </c>
      <c r="X2380" s="219">
        <f t="shared" ca="1" si="337"/>
        <v>0</v>
      </c>
      <c r="AB2380" s="220" t="str">
        <f t="shared" si="338"/>
        <v/>
      </c>
    </row>
    <row r="2381" spans="1:28" s="219" customFormat="1" ht="20.25">
      <c r="A2381" s="174"/>
      <c r="B2381" s="175" t="str">
        <f>IF(LEN(A2381)=0,"",INDEX('Smelter Look-up'!$A:$A,MATCH($A2381,'Smelter Look-up'!$E:$E,0)))</f>
        <v/>
      </c>
      <c r="C2381" s="179" t="str">
        <f>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336"/>
        <v/>
      </c>
      <c r="T2381" s="174" t="str">
        <f ca="1">IF(B2381="","",IF(ISERROR(MATCH($J2381,SorP!$B$1:$B$6279,0)),"",INDIRECT("'SorP'!$A$"&amp;MATCH($S2381&amp;$J2381,SorP!C:C,0))))</f>
        <v/>
      </c>
      <c r="U2381" s="194"/>
      <c r="V2381" s="218" t="e">
        <f>IF(C2381="",NA(),IF(OR(C2381="Smelter not listed",C2381="Smelter not yet identified"),MATCH($B2381&amp;$D2381,'Smelter Look-up'!$J:$J,0),MATCH($B2381&amp;$C2381,'Smelter Look-up'!$J:$J,0)))</f>
        <v>#N/A</v>
      </c>
      <c r="X2381" s="219">
        <f t="shared" ca="1" si="337"/>
        <v>0</v>
      </c>
      <c r="AB2381" s="220" t="str">
        <f t="shared" si="338"/>
        <v/>
      </c>
    </row>
    <row r="2382" spans="1:28" s="219" customFormat="1" ht="20.25">
      <c r="A2382" s="174"/>
      <c r="B2382" s="175" t="str">
        <f>IF(LEN(A2382)=0,"",INDEX('Smelter Look-up'!$A:$A,MATCH($A2382,'Smelter Look-up'!$E:$E,0)))</f>
        <v/>
      </c>
      <c r="C2382" s="179" t="str">
        <f>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336"/>
        <v/>
      </c>
      <c r="T2382" s="174" t="str">
        <f ca="1">IF(B2382="","",IF(ISERROR(MATCH($J2382,SorP!$B$1:$B$6279,0)),"",INDIRECT("'SorP'!$A$"&amp;MATCH($S2382&amp;$J2382,SorP!C:C,0))))</f>
        <v/>
      </c>
      <c r="U2382" s="194"/>
      <c r="V2382" s="218" t="e">
        <f>IF(C2382="",NA(),IF(OR(C2382="Smelter not listed",C2382="Smelter not yet identified"),MATCH($B2382&amp;$D2382,'Smelter Look-up'!$J:$J,0),MATCH($B2382&amp;$C2382,'Smelter Look-up'!$J:$J,0)))</f>
        <v>#N/A</v>
      </c>
      <c r="X2382" s="219">
        <f t="shared" ca="1" si="337"/>
        <v>0</v>
      </c>
      <c r="AB2382" s="220" t="str">
        <f t="shared" si="338"/>
        <v/>
      </c>
    </row>
    <row r="2383" spans="1:28" s="219" customFormat="1" ht="20.25">
      <c r="A2383" s="174"/>
      <c r="B2383" s="175" t="str">
        <f>IF(LEN(A2383)=0,"",INDEX('Smelter Look-up'!$A:$A,MATCH($A2383,'Smelter Look-up'!$E:$E,0)))</f>
        <v/>
      </c>
      <c r="C2383" s="179" t="str">
        <f>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336"/>
        <v/>
      </c>
      <c r="T2383" s="174" t="str">
        <f ca="1">IF(B2383="","",IF(ISERROR(MATCH($J2383,SorP!$B$1:$B$6279,0)),"",INDIRECT("'SorP'!$A$"&amp;MATCH($S2383&amp;$J2383,SorP!C:C,0))))</f>
        <v/>
      </c>
      <c r="U2383" s="194"/>
      <c r="V2383" s="218" t="e">
        <f>IF(C2383="",NA(),IF(OR(C2383="Smelter not listed",C2383="Smelter not yet identified"),MATCH($B2383&amp;$D2383,'Smelter Look-up'!$J:$J,0),MATCH($B2383&amp;$C2383,'Smelter Look-up'!$J:$J,0)))</f>
        <v>#N/A</v>
      </c>
      <c r="X2383" s="219">
        <f t="shared" ca="1" si="337"/>
        <v>0</v>
      </c>
      <c r="AB2383" s="220" t="str">
        <f t="shared" si="338"/>
        <v/>
      </c>
    </row>
    <row r="2384" spans="1:28" s="219" customFormat="1" ht="20.25">
      <c r="A2384" s="174"/>
      <c r="B2384" s="175" t="str">
        <f>IF(LEN(A2384)=0,"",INDEX('Smelter Look-up'!$A:$A,MATCH($A2384,'Smelter Look-up'!$E:$E,0)))</f>
        <v/>
      </c>
      <c r="C2384" s="179" t="str">
        <f>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336"/>
        <v/>
      </c>
      <c r="T2384" s="174" t="str">
        <f ca="1">IF(B2384="","",IF(ISERROR(MATCH($J2384,SorP!$B$1:$B$6279,0)),"",INDIRECT("'SorP'!$A$"&amp;MATCH($S2384&amp;$J2384,SorP!C:C,0))))</f>
        <v/>
      </c>
      <c r="U2384" s="194"/>
      <c r="V2384" s="218" t="e">
        <f>IF(C2384="",NA(),IF(OR(C2384="Smelter not listed",C2384="Smelter not yet identified"),MATCH($B2384&amp;$D2384,'Smelter Look-up'!$J:$J,0),MATCH($B2384&amp;$C2384,'Smelter Look-up'!$J:$J,0)))</f>
        <v>#N/A</v>
      </c>
      <c r="X2384" s="219">
        <f t="shared" ca="1" si="337"/>
        <v>0</v>
      </c>
      <c r="AB2384" s="220" t="str">
        <f t="shared" si="338"/>
        <v/>
      </c>
    </row>
    <row r="2385" spans="1:28" s="219" customFormat="1" ht="20.25">
      <c r="A2385" s="174"/>
      <c r="B2385" s="175" t="str">
        <f>IF(LEN(A2385)=0,"",INDEX('Smelter Look-up'!$A:$A,MATCH($A2385,'Smelter Look-up'!$E:$E,0)))</f>
        <v/>
      </c>
      <c r="C2385" s="179" t="str">
        <f>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336"/>
        <v/>
      </c>
      <c r="T2385" s="174" t="str">
        <f ca="1">IF(B2385="","",IF(ISERROR(MATCH($J2385,SorP!$B$1:$B$6279,0)),"",INDIRECT("'SorP'!$A$"&amp;MATCH($S2385&amp;$J2385,SorP!C:C,0))))</f>
        <v/>
      </c>
      <c r="U2385" s="194"/>
      <c r="V2385" s="218" t="e">
        <f>IF(C2385="",NA(),IF(OR(C2385="Smelter not listed",C2385="Smelter not yet identified"),MATCH($B2385&amp;$D2385,'Smelter Look-up'!$J:$J,0),MATCH($B2385&amp;$C2385,'Smelter Look-up'!$J:$J,0)))</f>
        <v>#N/A</v>
      </c>
      <c r="X2385" s="219">
        <f t="shared" ca="1" si="337"/>
        <v>0</v>
      </c>
      <c r="AB2385" s="220" t="str">
        <f t="shared" si="338"/>
        <v/>
      </c>
    </row>
    <row r="2386" spans="1:28" s="219" customFormat="1" ht="20.25">
      <c r="A2386" s="174"/>
      <c r="B2386" s="175" t="str">
        <f>IF(LEN(A2386)=0,"",INDEX('Smelter Look-up'!$A:$A,MATCH($A2386,'Smelter Look-up'!$E:$E,0)))</f>
        <v/>
      </c>
      <c r="C2386" s="179" t="str">
        <f>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336"/>
        <v/>
      </c>
      <c r="T2386" s="174" t="str">
        <f ca="1">IF(B2386="","",IF(ISERROR(MATCH($J2386,SorP!$B$1:$B$6279,0)),"",INDIRECT("'SorP'!$A$"&amp;MATCH($S2386&amp;$J2386,SorP!C:C,0))))</f>
        <v/>
      </c>
      <c r="U2386" s="194"/>
      <c r="V2386" s="218" t="e">
        <f>IF(C2386="",NA(),IF(OR(C2386="Smelter not listed",C2386="Smelter not yet identified"),MATCH($B2386&amp;$D2386,'Smelter Look-up'!$J:$J,0),MATCH($B2386&amp;$C2386,'Smelter Look-up'!$J:$J,0)))</f>
        <v>#N/A</v>
      </c>
      <c r="X2386" s="219">
        <f t="shared" ca="1" si="337"/>
        <v>0</v>
      </c>
      <c r="AB2386" s="220" t="str">
        <f t="shared" si="338"/>
        <v/>
      </c>
    </row>
    <row r="2387" spans="1:28" s="219" customFormat="1" ht="20.25">
      <c r="A2387" s="174"/>
      <c r="B2387" s="175" t="str">
        <f>IF(LEN(A2387)=0,"",INDEX('Smelter Look-up'!$A:$A,MATCH($A2387,'Smelter Look-up'!$E:$E,0)))</f>
        <v/>
      </c>
      <c r="C2387" s="179" t="str">
        <f>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336"/>
        <v/>
      </c>
      <c r="T2387" s="174" t="str">
        <f ca="1">IF(B2387="","",IF(ISERROR(MATCH($J2387,SorP!$B$1:$B$6279,0)),"",INDIRECT("'SorP'!$A$"&amp;MATCH($S2387&amp;$J2387,SorP!C:C,0))))</f>
        <v/>
      </c>
      <c r="U2387" s="194"/>
      <c r="V2387" s="218" t="e">
        <f>IF(C2387="",NA(),IF(OR(C2387="Smelter not listed",C2387="Smelter not yet identified"),MATCH($B2387&amp;$D2387,'Smelter Look-up'!$J:$J,0),MATCH($B2387&amp;$C2387,'Smelter Look-up'!$J:$J,0)))</f>
        <v>#N/A</v>
      </c>
      <c r="X2387" s="219">
        <f t="shared" ca="1" si="337"/>
        <v>0</v>
      </c>
      <c r="AB2387" s="220" t="str">
        <f t="shared" si="338"/>
        <v/>
      </c>
    </row>
    <row r="2388" spans="1:28" s="219" customFormat="1" ht="20.25">
      <c r="A2388" s="174"/>
      <c r="B2388" s="175" t="str">
        <f>IF(LEN(A2388)=0,"",INDEX('Smelter Look-up'!$A:$A,MATCH($A2388,'Smelter Look-up'!$E:$E,0)))</f>
        <v/>
      </c>
      <c r="C2388" s="179" t="str">
        <f>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336"/>
        <v/>
      </c>
      <c r="T2388" s="174" t="str">
        <f ca="1">IF(B2388="","",IF(ISERROR(MATCH($J2388,SorP!$B$1:$B$6279,0)),"",INDIRECT("'SorP'!$A$"&amp;MATCH($S2388&amp;$J2388,SorP!C:C,0))))</f>
        <v/>
      </c>
      <c r="U2388" s="194"/>
      <c r="V2388" s="218" t="e">
        <f>IF(C2388="",NA(),IF(OR(C2388="Smelter not listed",C2388="Smelter not yet identified"),MATCH($B2388&amp;$D2388,'Smelter Look-up'!$J:$J,0),MATCH($B2388&amp;$C2388,'Smelter Look-up'!$J:$J,0)))</f>
        <v>#N/A</v>
      </c>
      <c r="X2388" s="219">
        <f t="shared" ca="1" si="337"/>
        <v>0</v>
      </c>
      <c r="AB2388" s="220" t="str">
        <f t="shared" si="338"/>
        <v/>
      </c>
    </row>
    <row r="2389" spans="1:28" s="219" customFormat="1" ht="20.25">
      <c r="A2389" s="174"/>
      <c r="B2389" s="175" t="str">
        <f>IF(LEN(A2389)=0,"",INDEX('Smelter Look-up'!$A:$A,MATCH($A2389,'Smelter Look-up'!$E:$E,0)))</f>
        <v/>
      </c>
      <c r="C2389" s="179" t="str">
        <f>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336"/>
        <v/>
      </c>
      <c r="T2389" s="174" t="str">
        <f ca="1">IF(B2389="","",IF(ISERROR(MATCH($J2389,SorP!$B$1:$B$6279,0)),"",INDIRECT("'SorP'!$A$"&amp;MATCH($S2389&amp;$J2389,SorP!C:C,0))))</f>
        <v/>
      </c>
      <c r="U2389" s="194"/>
      <c r="V2389" s="218" t="e">
        <f>IF(C2389="",NA(),IF(OR(C2389="Smelter not listed",C2389="Smelter not yet identified"),MATCH($B2389&amp;$D2389,'Smelter Look-up'!$J:$J,0),MATCH($B2389&amp;$C2389,'Smelter Look-up'!$J:$J,0)))</f>
        <v>#N/A</v>
      </c>
      <c r="X2389" s="219">
        <f t="shared" ca="1" si="337"/>
        <v>0</v>
      </c>
      <c r="AB2389" s="220" t="str">
        <f t="shared" si="338"/>
        <v/>
      </c>
    </row>
    <row r="2390" spans="1:28" s="219" customFormat="1" ht="20.25">
      <c r="A2390" s="174"/>
      <c r="B2390" s="175" t="str">
        <f>IF(LEN(A2390)=0,"",INDEX('Smelter Look-up'!$A:$A,MATCH($A2390,'Smelter Look-up'!$E:$E,0)))</f>
        <v/>
      </c>
      <c r="C2390" s="179" t="str">
        <f>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336"/>
        <v/>
      </c>
      <c r="T2390" s="174" t="str">
        <f ca="1">IF(B2390="","",IF(ISERROR(MATCH($J2390,SorP!$B$1:$B$6279,0)),"",INDIRECT("'SorP'!$A$"&amp;MATCH($S2390&amp;$J2390,SorP!C:C,0))))</f>
        <v/>
      </c>
      <c r="U2390" s="194"/>
      <c r="V2390" s="218" t="e">
        <f>IF(C2390="",NA(),IF(OR(C2390="Smelter not listed",C2390="Smelter not yet identified"),MATCH($B2390&amp;$D2390,'Smelter Look-up'!$J:$J,0),MATCH($B2390&amp;$C2390,'Smelter Look-up'!$J:$J,0)))</f>
        <v>#N/A</v>
      </c>
      <c r="X2390" s="219">
        <f t="shared" ca="1" si="337"/>
        <v>0</v>
      </c>
      <c r="AB2390" s="220" t="str">
        <f t="shared" si="338"/>
        <v/>
      </c>
    </row>
    <row r="2391" spans="1:28" s="219" customFormat="1" ht="20.25">
      <c r="A2391" s="174"/>
      <c r="B2391" s="175" t="str">
        <f>IF(LEN(A2391)=0,"",INDEX('Smelter Look-up'!$A:$A,MATCH($A2391,'Smelter Look-up'!$E:$E,0)))</f>
        <v/>
      </c>
      <c r="C2391" s="179" t="str">
        <f>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336"/>
        <v/>
      </c>
      <c r="T2391" s="174" t="str">
        <f ca="1">IF(B2391="","",IF(ISERROR(MATCH($J2391,SorP!$B$1:$B$6279,0)),"",INDIRECT("'SorP'!$A$"&amp;MATCH($S2391&amp;$J2391,SorP!C:C,0))))</f>
        <v/>
      </c>
      <c r="U2391" s="194"/>
      <c r="V2391" s="218" t="e">
        <f>IF(C2391="",NA(),IF(OR(C2391="Smelter not listed",C2391="Smelter not yet identified"),MATCH($B2391&amp;$D2391,'Smelter Look-up'!$J:$J,0),MATCH($B2391&amp;$C2391,'Smelter Look-up'!$J:$J,0)))</f>
        <v>#N/A</v>
      </c>
      <c r="X2391" s="219">
        <f t="shared" ca="1" si="337"/>
        <v>0</v>
      </c>
      <c r="AB2391" s="220" t="str">
        <f t="shared" si="338"/>
        <v/>
      </c>
    </row>
    <row r="2392" spans="1:28" s="219" customFormat="1" ht="20.25">
      <c r="A2392" s="174"/>
      <c r="B2392" s="175" t="str">
        <f>IF(LEN(A2392)=0,"",INDEX('Smelter Look-up'!$A:$A,MATCH($A2392,'Smelter Look-up'!$E:$E,0)))</f>
        <v/>
      </c>
      <c r="C2392" s="179" t="str">
        <f>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336"/>
        <v/>
      </c>
      <c r="T2392" s="174" t="str">
        <f ca="1">IF(B2392="","",IF(ISERROR(MATCH($J2392,SorP!$B$1:$B$6279,0)),"",INDIRECT("'SorP'!$A$"&amp;MATCH($S2392&amp;$J2392,SorP!C:C,0))))</f>
        <v/>
      </c>
      <c r="U2392" s="194"/>
      <c r="V2392" s="218" t="e">
        <f>IF(C2392="",NA(),IF(OR(C2392="Smelter not listed",C2392="Smelter not yet identified"),MATCH($B2392&amp;$D2392,'Smelter Look-up'!$J:$J,0),MATCH($B2392&amp;$C2392,'Smelter Look-up'!$J:$J,0)))</f>
        <v>#N/A</v>
      </c>
      <c r="X2392" s="219">
        <f t="shared" ca="1" si="337"/>
        <v>0</v>
      </c>
      <c r="AB2392" s="220" t="str">
        <f t="shared" si="338"/>
        <v/>
      </c>
    </row>
    <row r="2393" spans="1:28" s="219" customFormat="1" ht="20.25">
      <c r="A2393" s="174"/>
      <c r="B2393" s="175" t="str">
        <f>IF(LEN(A2393)=0,"",INDEX('Smelter Look-up'!$A:$A,MATCH($A2393,'Smelter Look-up'!$E:$E,0)))</f>
        <v/>
      </c>
      <c r="C2393" s="179" t="str">
        <f>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336"/>
        <v/>
      </c>
      <c r="T2393" s="174" t="str">
        <f ca="1">IF(B2393="","",IF(ISERROR(MATCH($J2393,SorP!$B$1:$B$6279,0)),"",INDIRECT("'SorP'!$A$"&amp;MATCH($S2393&amp;$J2393,SorP!C:C,0))))</f>
        <v/>
      </c>
      <c r="U2393" s="194"/>
      <c r="V2393" s="218" t="e">
        <f>IF(C2393="",NA(),IF(OR(C2393="Smelter not listed",C2393="Smelter not yet identified"),MATCH($B2393&amp;$D2393,'Smelter Look-up'!$J:$J,0),MATCH($B2393&amp;$C2393,'Smelter Look-up'!$J:$J,0)))</f>
        <v>#N/A</v>
      </c>
      <c r="X2393" s="219">
        <f t="shared" ca="1" si="337"/>
        <v>0</v>
      </c>
      <c r="AB2393" s="220" t="str">
        <f t="shared" si="338"/>
        <v/>
      </c>
    </row>
    <row r="2394" spans="1:28" s="219" customFormat="1" ht="20.25">
      <c r="A2394" s="174"/>
      <c r="B2394" s="175" t="str">
        <f>IF(LEN(A2394)=0,"",INDEX('Smelter Look-up'!$A:$A,MATCH($A2394,'Smelter Look-up'!$E:$E,0)))</f>
        <v/>
      </c>
      <c r="C2394" s="179" t="str">
        <f>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ca="1" si="336"/>
        <v/>
      </c>
      <c r="T2394" s="174" t="str">
        <f ca="1">IF(B2394="","",IF(ISERROR(MATCH($J2394,SorP!$B$1:$B$6279,0)),"",INDIRECT("'SorP'!$A$"&amp;MATCH($S2394&amp;$J2394,SorP!C:C,0))))</f>
        <v/>
      </c>
      <c r="U2394" s="194"/>
      <c r="V2394" s="218" t="e">
        <f>IF(C2394="",NA(),IF(OR(C2394="Smelter not listed",C2394="Smelter not yet identified"),MATCH($B2394&amp;$D2394,'Smelter Look-up'!$J:$J,0),MATCH($B2394&amp;$C2394,'Smelter Look-up'!$J:$J,0)))</f>
        <v>#N/A</v>
      </c>
      <c r="X2394" s="219">
        <f t="shared" ca="1" si="337"/>
        <v>0</v>
      </c>
      <c r="AB2394" s="220" t="str">
        <f t="shared" si="338"/>
        <v/>
      </c>
    </row>
    <row r="2395" spans="1:28" s="219" customFormat="1" ht="20.25">
      <c r="A2395" s="174"/>
      <c r="B2395" s="175" t="str">
        <f>IF(LEN(A2395)=0,"",INDEX('Smelter Look-up'!$A:$A,MATCH($A2395,'Smelter Look-up'!$E:$E,0)))</f>
        <v/>
      </c>
      <c r="C2395" s="179" t="str">
        <f>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ca="1" si="336"/>
        <v/>
      </c>
      <c r="T2395" s="174" t="str">
        <f ca="1">IF(B2395="","",IF(ISERROR(MATCH($J2395,SorP!$B$1:$B$6279,0)),"",INDIRECT("'SorP'!$A$"&amp;MATCH($S2395&amp;$J2395,SorP!C:C,0))))</f>
        <v/>
      </c>
      <c r="U2395" s="194"/>
      <c r="V2395" s="218" t="e">
        <f>IF(C2395="",NA(),IF(OR(C2395="Smelter not listed",C2395="Smelter not yet identified"),MATCH($B2395&amp;$D2395,'Smelter Look-up'!$J:$J,0),MATCH($B2395&amp;$C2395,'Smelter Look-up'!$J:$J,0)))</f>
        <v>#N/A</v>
      </c>
      <c r="X2395" s="219">
        <f t="shared" ca="1" si="337"/>
        <v>0</v>
      </c>
      <c r="AB2395" s="220" t="str">
        <f t="shared" si="338"/>
        <v/>
      </c>
    </row>
    <row r="2396" spans="1:28" s="219" customFormat="1" ht="20.25">
      <c r="A2396" s="174"/>
      <c r="B2396" s="175" t="str">
        <f>IF(LEN(A2396)=0,"",INDEX('Smelter Look-up'!$A:$A,MATCH($A2396,'Smelter Look-up'!$E:$E,0)))</f>
        <v/>
      </c>
      <c r="C2396" s="179" t="str">
        <f>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ref="S2396:S2426" ca="1" si="339">IF(B2396="","",IF(ISERROR(MATCH($E2396,CL,0)),"Unknown",INDIRECT("'C'!$A$"&amp;MATCH($E2396,CL,0)+1)))</f>
        <v/>
      </c>
      <c r="T2396" s="174" t="str">
        <f ca="1">IF(B2396="","",IF(ISERROR(MATCH($J2396,SorP!$B$1:$B$6279,0)),"",INDIRECT("'SorP'!$A$"&amp;MATCH($S2396&amp;$J2396,SorP!C:C,0))))</f>
        <v/>
      </c>
      <c r="U2396" s="194"/>
      <c r="V2396" s="218" t="e">
        <f>IF(C2396="",NA(),IF(OR(C2396="Smelter not listed",C2396="Smelter not yet identified"),MATCH($B2396&amp;$D2396,'Smelter Look-up'!$J:$J,0),MATCH($B2396&amp;$C2396,'Smelter Look-up'!$J:$J,0)))</f>
        <v>#N/A</v>
      </c>
      <c r="X2396" s="219">
        <f t="shared" ref="X2396:X2426" ca="1" si="340">IF(AND(C2396="Smelter not listed",OR(LEN(D2396)=0,LEN(E2396)=0)),1,0)</f>
        <v>0</v>
      </c>
      <c r="AB2396" s="220" t="str">
        <f t="shared" ref="AB2396:AB2426" si="341">B2396&amp;C2396</f>
        <v/>
      </c>
    </row>
    <row r="2397" spans="1:28" s="219" customFormat="1" ht="20.25">
      <c r="A2397" s="174"/>
      <c r="B2397" s="175" t="str">
        <f>IF(LEN(A2397)=0,"",INDEX('Smelter Look-up'!$A:$A,MATCH($A2397,'Smelter Look-up'!$E:$E,0)))</f>
        <v/>
      </c>
      <c r="C2397" s="179" t="str">
        <f>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339"/>
        <v/>
      </c>
      <c r="T2397" s="174" t="str">
        <f ca="1">IF(B2397="","",IF(ISERROR(MATCH($J2397,SorP!$B$1:$B$6279,0)),"",INDIRECT("'SorP'!$A$"&amp;MATCH($S2397&amp;$J2397,SorP!C:C,0))))</f>
        <v/>
      </c>
      <c r="U2397" s="194"/>
      <c r="V2397" s="218" t="e">
        <f>IF(C2397="",NA(),IF(OR(C2397="Smelter not listed",C2397="Smelter not yet identified"),MATCH($B2397&amp;$D2397,'Smelter Look-up'!$J:$J,0),MATCH($B2397&amp;$C2397,'Smelter Look-up'!$J:$J,0)))</f>
        <v>#N/A</v>
      </c>
      <c r="X2397" s="219">
        <f t="shared" ca="1" si="340"/>
        <v>0</v>
      </c>
      <c r="AB2397" s="220" t="str">
        <f t="shared" si="341"/>
        <v/>
      </c>
    </row>
    <row r="2398" spans="1:28" s="219" customFormat="1" ht="20.25">
      <c r="A2398" s="174"/>
      <c r="B2398" s="175" t="str">
        <f>IF(LEN(A2398)=0,"",INDEX('Smelter Look-up'!$A:$A,MATCH($A2398,'Smelter Look-up'!$E:$E,0)))</f>
        <v/>
      </c>
      <c r="C2398" s="179" t="str">
        <f>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339"/>
        <v/>
      </c>
      <c r="T2398" s="174" t="str">
        <f ca="1">IF(B2398="","",IF(ISERROR(MATCH($J2398,SorP!$B$1:$B$6279,0)),"",INDIRECT("'SorP'!$A$"&amp;MATCH($S2398&amp;$J2398,SorP!C:C,0))))</f>
        <v/>
      </c>
      <c r="U2398" s="194"/>
      <c r="V2398" s="218" t="e">
        <f>IF(C2398="",NA(),IF(OR(C2398="Smelter not listed",C2398="Smelter not yet identified"),MATCH($B2398&amp;$D2398,'Smelter Look-up'!$J:$J,0),MATCH($B2398&amp;$C2398,'Smelter Look-up'!$J:$J,0)))</f>
        <v>#N/A</v>
      </c>
      <c r="X2398" s="219">
        <f t="shared" ca="1" si="340"/>
        <v>0</v>
      </c>
      <c r="AB2398" s="220" t="str">
        <f t="shared" si="341"/>
        <v/>
      </c>
    </row>
    <row r="2399" spans="1:28" s="219" customFormat="1" ht="20.25">
      <c r="A2399" s="174"/>
      <c r="B2399" s="175" t="str">
        <f>IF(LEN(A2399)=0,"",INDEX('Smelter Look-up'!$A:$A,MATCH($A2399,'Smelter Look-up'!$E:$E,0)))</f>
        <v/>
      </c>
      <c r="C2399" s="179" t="str">
        <f>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339"/>
        <v/>
      </c>
      <c r="T2399" s="174" t="str">
        <f ca="1">IF(B2399="","",IF(ISERROR(MATCH($J2399,SorP!$B$1:$B$6279,0)),"",INDIRECT("'SorP'!$A$"&amp;MATCH($S2399&amp;$J2399,SorP!C:C,0))))</f>
        <v/>
      </c>
      <c r="U2399" s="194"/>
      <c r="V2399" s="218" t="e">
        <f>IF(C2399="",NA(),IF(OR(C2399="Smelter not listed",C2399="Smelter not yet identified"),MATCH($B2399&amp;$D2399,'Smelter Look-up'!$J:$J,0),MATCH($B2399&amp;$C2399,'Smelter Look-up'!$J:$J,0)))</f>
        <v>#N/A</v>
      </c>
      <c r="X2399" s="219">
        <f t="shared" ca="1" si="340"/>
        <v>0</v>
      </c>
      <c r="AB2399" s="220" t="str">
        <f t="shared" si="341"/>
        <v/>
      </c>
    </row>
    <row r="2400" spans="1:28" s="219" customFormat="1" ht="20.25">
      <c r="A2400" s="174"/>
      <c r="B2400" s="175" t="str">
        <f>IF(LEN(A2400)=0,"",INDEX('Smelter Look-up'!$A:$A,MATCH($A2400,'Smelter Look-up'!$E:$E,0)))</f>
        <v/>
      </c>
      <c r="C2400" s="179" t="str">
        <f>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339"/>
        <v/>
      </c>
      <c r="T2400" s="174" t="str">
        <f ca="1">IF(B2400="","",IF(ISERROR(MATCH($J2400,SorP!$B$1:$B$6279,0)),"",INDIRECT("'SorP'!$A$"&amp;MATCH($S2400&amp;$J2400,SorP!C:C,0))))</f>
        <v/>
      </c>
      <c r="U2400" s="194"/>
      <c r="V2400" s="218" t="e">
        <f>IF(C2400="",NA(),IF(OR(C2400="Smelter not listed",C2400="Smelter not yet identified"),MATCH($B2400&amp;$D2400,'Smelter Look-up'!$J:$J,0),MATCH($B2400&amp;$C2400,'Smelter Look-up'!$J:$J,0)))</f>
        <v>#N/A</v>
      </c>
      <c r="X2400" s="219">
        <f t="shared" ca="1" si="340"/>
        <v>0</v>
      </c>
      <c r="AB2400" s="220" t="str">
        <f t="shared" si="341"/>
        <v/>
      </c>
    </row>
    <row r="2401" spans="1:28" s="219" customFormat="1" ht="20.25">
      <c r="A2401" s="174"/>
      <c r="B2401" s="175" t="str">
        <f>IF(LEN(A2401)=0,"",INDEX('Smelter Look-up'!$A:$A,MATCH($A2401,'Smelter Look-up'!$E:$E,0)))</f>
        <v/>
      </c>
      <c r="C2401" s="179" t="str">
        <f>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339"/>
        <v/>
      </c>
      <c r="T2401" s="174" t="str">
        <f ca="1">IF(B2401="","",IF(ISERROR(MATCH($J2401,SorP!$B$1:$B$6279,0)),"",INDIRECT("'SorP'!$A$"&amp;MATCH($S2401&amp;$J2401,SorP!C:C,0))))</f>
        <v/>
      </c>
      <c r="U2401" s="194"/>
      <c r="V2401" s="218" t="e">
        <f>IF(C2401="",NA(),IF(OR(C2401="Smelter not listed",C2401="Smelter not yet identified"),MATCH($B2401&amp;$D2401,'Smelter Look-up'!$J:$J,0),MATCH($B2401&amp;$C2401,'Smelter Look-up'!$J:$J,0)))</f>
        <v>#N/A</v>
      </c>
      <c r="X2401" s="219">
        <f t="shared" ca="1" si="340"/>
        <v>0</v>
      </c>
      <c r="AB2401" s="220" t="str">
        <f t="shared" si="341"/>
        <v/>
      </c>
    </row>
    <row r="2402" spans="1:28" s="219" customFormat="1" ht="20.25">
      <c r="A2402" s="174"/>
      <c r="B2402" s="175" t="str">
        <f>IF(LEN(A2402)=0,"",INDEX('Smelter Look-up'!$A:$A,MATCH($A2402,'Smelter Look-up'!$E:$E,0)))</f>
        <v/>
      </c>
      <c r="C2402" s="179" t="str">
        <f>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339"/>
        <v/>
      </c>
      <c r="T2402" s="174" t="str">
        <f ca="1">IF(B2402="","",IF(ISERROR(MATCH($J2402,SorP!$B$1:$B$6279,0)),"",INDIRECT("'SorP'!$A$"&amp;MATCH($S2402&amp;$J2402,SorP!C:C,0))))</f>
        <v/>
      </c>
      <c r="U2402" s="194"/>
      <c r="V2402" s="218" t="e">
        <f>IF(C2402="",NA(),IF(OR(C2402="Smelter not listed",C2402="Smelter not yet identified"),MATCH($B2402&amp;$D2402,'Smelter Look-up'!$J:$J,0),MATCH($B2402&amp;$C2402,'Smelter Look-up'!$J:$J,0)))</f>
        <v>#N/A</v>
      </c>
      <c r="X2402" s="219">
        <f t="shared" ca="1" si="340"/>
        <v>0</v>
      </c>
      <c r="AB2402" s="220" t="str">
        <f t="shared" si="341"/>
        <v/>
      </c>
    </row>
    <row r="2403" spans="1:28" s="219" customFormat="1" ht="20.25">
      <c r="A2403" s="174"/>
      <c r="B2403" s="175" t="str">
        <f>IF(LEN(A2403)=0,"",INDEX('Smelter Look-up'!$A:$A,MATCH($A2403,'Smelter Look-up'!$E:$E,0)))</f>
        <v/>
      </c>
      <c r="C2403" s="179" t="str">
        <f>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339"/>
        <v/>
      </c>
      <c r="T2403" s="174" t="str">
        <f ca="1">IF(B2403="","",IF(ISERROR(MATCH($J2403,SorP!$B$1:$B$6279,0)),"",INDIRECT("'SorP'!$A$"&amp;MATCH($S2403&amp;$J2403,SorP!C:C,0))))</f>
        <v/>
      </c>
      <c r="U2403" s="194"/>
      <c r="V2403" s="218" t="e">
        <f>IF(C2403="",NA(),IF(OR(C2403="Smelter not listed",C2403="Smelter not yet identified"),MATCH($B2403&amp;$D2403,'Smelter Look-up'!$J:$J,0),MATCH($B2403&amp;$C2403,'Smelter Look-up'!$J:$J,0)))</f>
        <v>#N/A</v>
      </c>
      <c r="X2403" s="219">
        <f t="shared" ca="1" si="340"/>
        <v>0</v>
      </c>
      <c r="AB2403" s="220" t="str">
        <f t="shared" si="341"/>
        <v/>
      </c>
    </row>
    <row r="2404" spans="1:28" s="219" customFormat="1" ht="20.25">
      <c r="A2404" s="174"/>
      <c r="B2404" s="175" t="str">
        <f>IF(LEN(A2404)=0,"",INDEX('Smelter Look-up'!$A:$A,MATCH($A2404,'Smelter Look-up'!$E:$E,0)))</f>
        <v/>
      </c>
      <c r="C2404" s="179" t="str">
        <f>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339"/>
        <v/>
      </c>
      <c r="T2404" s="174" t="str">
        <f ca="1">IF(B2404="","",IF(ISERROR(MATCH($J2404,SorP!$B$1:$B$6279,0)),"",INDIRECT("'SorP'!$A$"&amp;MATCH($S2404&amp;$J2404,SorP!C:C,0))))</f>
        <v/>
      </c>
      <c r="U2404" s="194"/>
      <c r="V2404" s="218" t="e">
        <f>IF(C2404="",NA(),IF(OR(C2404="Smelter not listed",C2404="Smelter not yet identified"),MATCH($B2404&amp;$D2404,'Smelter Look-up'!$J:$J,0),MATCH($B2404&amp;$C2404,'Smelter Look-up'!$J:$J,0)))</f>
        <v>#N/A</v>
      </c>
      <c r="X2404" s="219">
        <f t="shared" ca="1" si="340"/>
        <v>0</v>
      </c>
      <c r="AB2404" s="220" t="str">
        <f t="shared" si="341"/>
        <v/>
      </c>
    </row>
    <row r="2405" spans="1:28" s="219" customFormat="1" ht="20.25">
      <c r="A2405" s="174"/>
      <c r="B2405" s="175" t="str">
        <f>IF(LEN(A2405)=0,"",INDEX('Smelter Look-up'!$A:$A,MATCH($A2405,'Smelter Look-up'!$E:$E,0)))</f>
        <v/>
      </c>
      <c r="C2405" s="179" t="str">
        <f>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339"/>
        <v/>
      </c>
      <c r="T2405" s="174" t="str">
        <f ca="1">IF(B2405="","",IF(ISERROR(MATCH($J2405,SorP!$B$1:$B$6279,0)),"",INDIRECT("'SorP'!$A$"&amp;MATCH($S2405&amp;$J2405,SorP!C:C,0))))</f>
        <v/>
      </c>
      <c r="U2405" s="194"/>
      <c r="V2405" s="218" t="e">
        <f>IF(C2405="",NA(),IF(OR(C2405="Smelter not listed",C2405="Smelter not yet identified"),MATCH($B2405&amp;$D2405,'Smelter Look-up'!$J:$J,0),MATCH($B2405&amp;$C2405,'Smelter Look-up'!$J:$J,0)))</f>
        <v>#N/A</v>
      </c>
      <c r="X2405" s="219">
        <f t="shared" ca="1" si="340"/>
        <v>0</v>
      </c>
      <c r="AB2405" s="220" t="str">
        <f t="shared" si="341"/>
        <v/>
      </c>
    </row>
    <row r="2406" spans="1:28" s="219" customFormat="1" ht="20.25">
      <c r="A2406" s="174"/>
      <c r="B2406" s="175" t="str">
        <f>IF(LEN(A2406)=0,"",INDEX('Smelter Look-up'!$A:$A,MATCH($A2406,'Smelter Look-up'!$E:$E,0)))</f>
        <v/>
      </c>
      <c r="C2406" s="179" t="str">
        <f>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339"/>
        <v/>
      </c>
      <c r="T2406" s="174" t="str">
        <f ca="1">IF(B2406="","",IF(ISERROR(MATCH($J2406,SorP!$B$1:$B$6279,0)),"",INDIRECT("'SorP'!$A$"&amp;MATCH($S2406&amp;$J2406,SorP!C:C,0))))</f>
        <v/>
      </c>
      <c r="U2406" s="194"/>
      <c r="V2406" s="218" t="e">
        <f>IF(C2406="",NA(),IF(OR(C2406="Smelter not listed",C2406="Smelter not yet identified"),MATCH($B2406&amp;$D2406,'Smelter Look-up'!$J:$J,0),MATCH($B2406&amp;$C2406,'Smelter Look-up'!$J:$J,0)))</f>
        <v>#N/A</v>
      </c>
      <c r="X2406" s="219">
        <f t="shared" ca="1" si="340"/>
        <v>0</v>
      </c>
      <c r="AB2406" s="220" t="str">
        <f t="shared" si="341"/>
        <v/>
      </c>
    </row>
    <row r="2407" spans="1:28" s="219" customFormat="1" ht="20.25">
      <c r="A2407" s="174"/>
      <c r="B2407" s="175" t="str">
        <f>IF(LEN(A2407)=0,"",INDEX('Smelter Look-up'!$A:$A,MATCH($A2407,'Smelter Look-up'!$E:$E,0)))</f>
        <v/>
      </c>
      <c r="C2407" s="179" t="str">
        <f>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339"/>
        <v/>
      </c>
      <c r="T2407" s="174" t="str">
        <f ca="1">IF(B2407="","",IF(ISERROR(MATCH($J2407,SorP!$B$1:$B$6279,0)),"",INDIRECT("'SorP'!$A$"&amp;MATCH($S2407&amp;$J2407,SorP!C:C,0))))</f>
        <v/>
      </c>
      <c r="U2407" s="194"/>
      <c r="V2407" s="218" t="e">
        <f>IF(C2407="",NA(),IF(OR(C2407="Smelter not listed",C2407="Smelter not yet identified"),MATCH($B2407&amp;$D2407,'Smelter Look-up'!$J:$J,0),MATCH($B2407&amp;$C2407,'Smelter Look-up'!$J:$J,0)))</f>
        <v>#N/A</v>
      </c>
      <c r="X2407" s="219">
        <f t="shared" ca="1" si="340"/>
        <v>0</v>
      </c>
      <c r="AB2407" s="220" t="str">
        <f t="shared" si="341"/>
        <v/>
      </c>
    </row>
    <row r="2408" spans="1:28" s="219" customFormat="1" ht="20.25">
      <c r="A2408" s="174"/>
      <c r="B2408" s="175" t="str">
        <f>IF(LEN(A2408)=0,"",INDEX('Smelter Look-up'!$A:$A,MATCH($A2408,'Smelter Look-up'!$E:$E,0)))</f>
        <v/>
      </c>
      <c r="C2408" s="179" t="str">
        <f>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339"/>
        <v/>
      </c>
      <c r="T2408" s="174" t="str">
        <f ca="1">IF(B2408="","",IF(ISERROR(MATCH($J2408,SorP!$B$1:$B$6279,0)),"",INDIRECT("'SorP'!$A$"&amp;MATCH($S2408&amp;$J2408,SorP!C:C,0))))</f>
        <v/>
      </c>
      <c r="U2408" s="194"/>
      <c r="V2408" s="218" t="e">
        <f>IF(C2408="",NA(),IF(OR(C2408="Smelter not listed",C2408="Smelter not yet identified"),MATCH($B2408&amp;$D2408,'Smelter Look-up'!$J:$J,0),MATCH($B2408&amp;$C2408,'Smelter Look-up'!$J:$J,0)))</f>
        <v>#N/A</v>
      </c>
      <c r="X2408" s="219">
        <f t="shared" ca="1" si="340"/>
        <v>0</v>
      </c>
      <c r="AB2408" s="220" t="str">
        <f t="shared" si="341"/>
        <v/>
      </c>
    </row>
    <row r="2409" spans="1:28" s="219" customFormat="1" ht="20.25">
      <c r="A2409" s="174"/>
      <c r="B2409" s="175" t="str">
        <f>IF(LEN(A2409)=0,"",INDEX('Smelter Look-up'!$A:$A,MATCH($A2409,'Smelter Look-up'!$E:$E,0)))</f>
        <v/>
      </c>
      <c r="C2409" s="179" t="str">
        <f>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339"/>
        <v/>
      </c>
      <c r="T2409" s="174" t="str">
        <f ca="1">IF(B2409="","",IF(ISERROR(MATCH($J2409,SorP!$B$1:$B$6279,0)),"",INDIRECT("'SorP'!$A$"&amp;MATCH($S2409&amp;$J2409,SorP!C:C,0))))</f>
        <v/>
      </c>
      <c r="U2409" s="194"/>
      <c r="V2409" s="218" t="e">
        <f>IF(C2409="",NA(),IF(OR(C2409="Smelter not listed",C2409="Smelter not yet identified"),MATCH($B2409&amp;$D2409,'Smelter Look-up'!$J:$J,0),MATCH($B2409&amp;$C2409,'Smelter Look-up'!$J:$J,0)))</f>
        <v>#N/A</v>
      </c>
      <c r="X2409" s="219">
        <f t="shared" ca="1" si="340"/>
        <v>0</v>
      </c>
      <c r="AB2409" s="220" t="str">
        <f t="shared" si="341"/>
        <v/>
      </c>
    </row>
    <row r="2410" spans="1:28" s="219" customFormat="1" ht="20.25">
      <c r="A2410" s="174"/>
      <c r="B2410" s="175" t="str">
        <f>IF(LEN(A2410)=0,"",INDEX('Smelter Look-up'!$A:$A,MATCH($A2410,'Smelter Look-up'!$E:$E,0)))</f>
        <v/>
      </c>
      <c r="C2410" s="179" t="str">
        <f>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339"/>
        <v/>
      </c>
      <c r="T2410" s="174" t="str">
        <f ca="1">IF(B2410="","",IF(ISERROR(MATCH($J2410,SorP!$B$1:$B$6279,0)),"",INDIRECT("'SorP'!$A$"&amp;MATCH($S2410&amp;$J2410,SorP!C:C,0))))</f>
        <v/>
      </c>
      <c r="U2410" s="194"/>
      <c r="V2410" s="218" t="e">
        <f>IF(C2410="",NA(),IF(OR(C2410="Smelter not listed",C2410="Smelter not yet identified"),MATCH($B2410&amp;$D2410,'Smelter Look-up'!$J:$J,0),MATCH($B2410&amp;$C2410,'Smelter Look-up'!$J:$J,0)))</f>
        <v>#N/A</v>
      </c>
      <c r="X2410" s="219">
        <f t="shared" ca="1" si="340"/>
        <v>0</v>
      </c>
      <c r="AB2410" s="220" t="str">
        <f t="shared" si="341"/>
        <v/>
      </c>
    </row>
    <row r="2411" spans="1:28" s="219" customFormat="1" ht="20.25">
      <c r="A2411" s="174"/>
      <c r="B2411" s="175" t="str">
        <f>IF(LEN(A2411)=0,"",INDEX('Smelter Look-up'!$A:$A,MATCH($A2411,'Smelter Look-up'!$E:$E,0)))</f>
        <v/>
      </c>
      <c r="C2411" s="179" t="str">
        <f>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339"/>
        <v/>
      </c>
      <c r="T2411" s="174" t="str">
        <f ca="1">IF(B2411="","",IF(ISERROR(MATCH($J2411,SorP!$B$1:$B$6279,0)),"",INDIRECT("'SorP'!$A$"&amp;MATCH($S2411&amp;$J2411,SorP!C:C,0))))</f>
        <v/>
      </c>
      <c r="U2411" s="194"/>
      <c r="V2411" s="218" t="e">
        <f>IF(C2411="",NA(),IF(OR(C2411="Smelter not listed",C2411="Smelter not yet identified"),MATCH($B2411&amp;$D2411,'Smelter Look-up'!$J:$J,0),MATCH($B2411&amp;$C2411,'Smelter Look-up'!$J:$J,0)))</f>
        <v>#N/A</v>
      </c>
      <c r="X2411" s="219">
        <f t="shared" ca="1" si="340"/>
        <v>0</v>
      </c>
      <c r="AB2411" s="220" t="str">
        <f t="shared" si="341"/>
        <v/>
      </c>
    </row>
    <row r="2412" spans="1:28" s="219" customFormat="1" ht="20.25">
      <c r="A2412" s="174"/>
      <c r="B2412" s="175" t="str">
        <f>IF(LEN(A2412)=0,"",INDEX('Smelter Look-up'!$A:$A,MATCH($A2412,'Smelter Look-up'!$E:$E,0)))</f>
        <v/>
      </c>
      <c r="C2412" s="179" t="str">
        <f>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339"/>
        <v/>
      </c>
      <c r="T2412" s="174" t="str">
        <f ca="1">IF(B2412="","",IF(ISERROR(MATCH($J2412,SorP!$B$1:$B$6279,0)),"",INDIRECT("'SorP'!$A$"&amp;MATCH($S2412&amp;$J2412,SorP!C:C,0))))</f>
        <v/>
      </c>
      <c r="U2412" s="194"/>
      <c r="V2412" s="218" t="e">
        <f>IF(C2412="",NA(),IF(OR(C2412="Smelter not listed",C2412="Smelter not yet identified"),MATCH($B2412&amp;$D2412,'Smelter Look-up'!$J:$J,0),MATCH($B2412&amp;$C2412,'Smelter Look-up'!$J:$J,0)))</f>
        <v>#N/A</v>
      </c>
      <c r="X2412" s="219">
        <f t="shared" ca="1" si="340"/>
        <v>0</v>
      </c>
      <c r="AB2412" s="220" t="str">
        <f t="shared" si="341"/>
        <v/>
      </c>
    </row>
    <row r="2413" spans="1:28" s="219" customFormat="1" ht="20.25">
      <c r="A2413" s="174"/>
      <c r="B2413" s="175" t="str">
        <f>IF(LEN(A2413)=0,"",INDEX('Smelter Look-up'!$A:$A,MATCH($A2413,'Smelter Look-up'!$E:$E,0)))</f>
        <v/>
      </c>
      <c r="C2413" s="179" t="str">
        <f>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339"/>
        <v/>
      </c>
      <c r="T2413" s="174" t="str">
        <f ca="1">IF(B2413="","",IF(ISERROR(MATCH($J2413,SorP!$B$1:$B$6279,0)),"",INDIRECT("'SorP'!$A$"&amp;MATCH($S2413&amp;$J2413,SorP!C:C,0))))</f>
        <v/>
      </c>
      <c r="U2413" s="194"/>
      <c r="V2413" s="218" t="e">
        <f>IF(C2413="",NA(),IF(OR(C2413="Smelter not listed",C2413="Smelter not yet identified"),MATCH($B2413&amp;$D2413,'Smelter Look-up'!$J:$J,0),MATCH($B2413&amp;$C2413,'Smelter Look-up'!$J:$J,0)))</f>
        <v>#N/A</v>
      </c>
      <c r="X2413" s="219">
        <f t="shared" ca="1" si="340"/>
        <v>0</v>
      </c>
      <c r="AB2413" s="220" t="str">
        <f t="shared" si="341"/>
        <v/>
      </c>
    </row>
    <row r="2414" spans="1:28" s="219" customFormat="1" ht="20.25">
      <c r="A2414" s="174"/>
      <c r="B2414" s="175" t="str">
        <f>IF(LEN(A2414)=0,"",INDEX('Smelter Look-up'!$A:$A,MATCH($A2414,'Smelter Look-up'!$E:$E,0)))</f>
        <v/>
      </c>
      <c r="C2414" s="179" t="str">
        <f>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339"/>
        <v/>
      </c>
      <c r="T2414" s="174" t="str">
        <f ca="1">IF(B2414="","",IF(ISERROR(MATCH($J2414,SorP!$B$1:$B$6279,0)),"",INDIRECT("'SorP'!$A$"&amp;MATCH($S2414&amp;$J2414,SorP!C:C,0))))</f>
        <v/>
      </c>
      <c r="U2414" s="194"/>
      <c r="V2414" s="218" t="e">
        <f>IF(C2414="",NA(),IF(OR(C2414="Smelter not listed",C2414="Smelter not yet identified"),MATCH($B2414&amp;$D2414,'Smelter Look-up'!$J:$J,0),MATCH($B2414&amp;$C2414,'Smelter Look-up'!$J:$J,0)))</f>
        <v>#N/A</v>
      </c>
      <c r="X2414" s="219">
        <f t="shared" ca="1" si="340"/>
        <v>0</v>
      </c>
      <c r="AB2414" s="220" t="str">
        <f t="shared" si="341"/>
        <v/>
      </c>
    </row>
    <row r="2415" spans="1:28" s="219" customFormat="1" ht="20.25">
      <c r="A2415" s="174"/>
      <c r="B2415" s="175" t="str">
        <f>IF(LEN(A2415)=0,"",INDEX('Smelter Look-up'!$A:$A,MATCH($A2415,'Smelter Look-up'!$E:$E,0)))</f>
        <v/>
      </c>
      <c r="C2415" s="179" t="str">
        <f>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339"/>
        <v/>
      </c>
      <c r="T2415" s="174" t="str">
        <f ca="1">IF(B2415="","",IF(ISERROR(MATCH($J2415,SorP!$B$1:$B$6279,0)),"",INDIRECT("'SorP'!$A$"&amp;MATCH($S2415&amp;$J2415,SorP!C:C,0))))</f>
        <v/>
      </c>
      <c r="U2415" s="194"/>
      <c r="V2415" s="218" t="e">
        <f>IF(C2415="",NA(),IF(OR(C2415="Smelter not listed",C2415="Smelter not yet identified"),MATCH($B2415&amp;$D2415,'Smelter Look-up'!$J:$J,0),MATCH($B2415&amp;$C2415,'Smelter Look-up'!$J:$J,0)))</f>
        <v>#N/A</v>
      </c>
      <c r="X2415" s="219">
        <f t="shared" ca="1" si="340"/>
        <v>0</v>
      </c>
      <c r="AB2415" s="220" t="str">
        <f t="shared" si="341"/>
        <v/>
      </c>
    </row>
    <row r="2416" spans="1:28" s="219" customFormat="1" ht="20.25">
      <c r="A2416" s="174"/>
      <c r="B2416" s="175" t="str">
        <f>IF(LEN(A2416)=0,"",INDEX('Smelter Look-up'!$A:$A,MATCH($A2416,'Smelter Look-up'!$E:$E,0)))</f>
        <v/>
      </c>
      <c r="C2416" s="179" t="str">
        <f>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339"/>
        <v/>
      </c>
      <c r="T2416" s="174" t="str">
        <f ca="1">IF(B2416="","",IF(ISERROR(MATCH($J2416,SorP!$B$1:$B$6279,0)),"",INDIRECT("'SorP'!$A$"&amp;MATCH($S2416&amp;$J2416,SorP!C:C,0))))</f>
        <v/>
      </c>
      <c r="U2416" s="194"/>
      <c r="V2416" s="218" t="e">
        <f>IF(C2416="",NA(),IF(OR(C2416="Smelter not listed",C2416="Smelter not yet identified"),MATCH($B2416&amp;$D2416,'Smelter Look-up'!$J:$J,0),MATCH($B2416&amp;$C2416,'Smelter Look-up'!$J:$J,0)))</f>
        <v>#N/A</v>
      </c>
      <c r="X2416" s="219">
        <f t="shared" ca="1" si="340"/>
        <v>0</v>
      </c>
      <c r="AB2416" s="220" t="str">
        <f t="shared" si="341"/>
        <v/>
      </c>
    </row>
    <row r="2417" spans="1:28" s="219" customFormat="1" ht="20.25">
      <c r="A2417" s="174"/>
      <c r="B2417" s="175" t="str">
        <f>IF(LEN(A2417)=0,"",INDEX('Smelter Look-up'!$A:$A,MATCH($A2417,'Smelter Look-up'!$E:$E,0)))</f>
        <v/>
      </c>
      <c r="C2417" s="179" t="str">
        <f>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339"/>
        <v/>
      </c>
      <c r="T2417" s="174" t="str">
        <f ca="1">IF(B2417="","",IF(ISERROR(MATCH($J2417,SorP!$B$1:$B$6279,0)),"",INDIRECT("'SorP'!$A$"&amp;MATCH($S2417&amp;$J2417,SorP!C:C,0))))</f>
        <v/>
      </c>
      <c r="U2417" s="194"/>
      <c r="V2417" s="218" t="e">
        <f>IF(C2417="",NA(),IF(OR(C2417="Smelter not listed",C2417="Smelter not yet identified"),MATCH($B2417&amp;$D2417,'Smelter Look-up'!$J:$J,0),MATCH($B2417&amp;$C2417,'Smelter Look-up'!$J:$J,0)))</f>
        <v>#N/A</v>
      </c>
      <c r="X2417" s="219">
        <f t="shared" ca="1" si="340"/>
        <v>0</v>
      </c>
      <c r="AB2417" s="220" t="str">
        <f t="shared" si="341"/>
        <v/>
      </c>
    </row>
    <row r="2418" spans="1:28" s="219" customFormat="1" ht="20.25">
      <c r="A2418" s="174"/>
      <c r="B2418" s="175" t="str">
        <f>IF(LEN(A2418)=0,"",INDEX('Smelter Look-up'!$A:$A,MATCH($A2418,'Smelter Look-up'!$E:$E,0)))</f>
        <v/>
      </c>
      <c r="C2418" s="179" t="str">
        <f>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339"/>
        <v/>
      </c>
      <c r="T2418" s="174" t="str">
        <f ca="1">IF(B2418="","",IF(ISERROR(MATCH($J2418,SorP!$B$1:$B$6279,0)),"",INDIRECT("'SorP'!$A$"&amp;MATCH($S2418&amp;$J2418,SorP!C:C,0))))</f>
        <v/>
      </c>
      <c r="U2418" s="194"/>
      <c r="V2418" s="218" t="e">
        <f>IF(C2418="",NA(),IF(OR(C2418="Smelter not listed",C2418="Smelter not yet identified"),MATCH($B2418&amp;$D2418,'Smelter Look-up'!$J:$J,0),MATCH($B2418&amp;$C2418,'Smelter Look-up'!$J:$J,0)))</f>
        <v>#N/A</v>
      </c>
      <c r="X2418" s="219">
        <f t="shared" ca="1" si="340"/>
        <v>0</v>
      </c>
      <c r="AB2418" s="220" t="str">
        <f t="shared" si="341"/>
        <v/>
      </c>
    </row>
    <row r="2419" spans="1:28" s="219" customFormat="1" ht="20.25">
      <c r="A2419" s="174"/>
      <c r="B2419" s="175" t="str">
        <f>IF(LEN(A2419)=0,"",INDEX('Smelter Look-up'!$A:$A,MATCH($A2419,'Smelter Look-up'!$E:$E,0)))</f>
        <v/>
      </c>
      <c r="C2419" s="179" t="str">
        <f>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339"/>
        <v/>
      </c>
      <c r="T2419" s="174" t="str">
        <f ca="1">IF(B2419="","",IF(ISERROR(MATCH($J2419,SorP!$B$1:$B$6279,0)),"",INDIRECT("'SorP'!$A$"&amp;MATCH($S2419&amp;$J2419,SorP!C:C,0))))</f>
        <v/>
      </c>
      <c r="U2419" s="194"/>
      <c r="V2419" s="218" t="e">
        <f>IF(C2419="",NA(),IF(OR(C2419="Smelter not listed",C2419="Smelter not yet identified"),MATCH($B2419&amp;$D2419,'Smelter Look-up'!$J:$J,0),MATCH($B2419&amp;$C2419,'Smelter Look-up'!$J:$J,0)))</f>
        <v>#N/A</v>
      </c>
      <c r="X2419" s="219">
        <f t="shared" ca="1" si="340"/>
        <v>0</v>
      </c>
      <c r="AB2419" s="220" t="str">
        <f t="shared" si="341"/>
        <v/>
      </c>
    </row>
    <row r="2420" spans="1:28" s="219" customFormat="1" ht="20.25">
      <c r="A2420" s="174"/>
      <c r="B2420" s="175" t="str">
        <f>IF(LEN(A2420)=0,"",INDEX('Smelter Look-up'!$A:$A,MATCH($A2420,'Smelter Look-up'!$E:$E,0)))</f>
        <v/>
      </c>
      <c r="C2420" s="179" t="str">
        <f>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339"/>
        <v/>
      </c>
      <c r="T2420" s="174" t="str">
        <f ca="1">IF(B2420="","",IF(ISERROR(MATCH($J2420,SorP!$B$1:$B$6279,0)),"",INDIRECT("'SorP'!$A$"&amp;MATCH($S2420&amp;$J2420,SorP!C:C,0))))</f>
        <v/>
      </c>
      <c r="U2420" s="194"/>
      <c r="V2420" s="218" t="e">
        <f>IF(C2420="",NA(),IF(OR(C2420="Smelter not listed",C2420="Smelter not yet identified"),MATCH($B2420&amp;$D2420,'Smelter Look-up'!$J:$J,0),MATCH($B2420&amp;$C2420,'Smelter Look-up'!$J:$J,0)))</f>
        <v>#N/A</v>
      </c>
      <c r="X2420" s="219">
        <f t="shared" ca="1" si="340"/>
        <v>0</v>
      </c>
      <c r="AB2420" s="220" t="str">
        <f t="shared" si="341"/>
        <v/>
      </c>
    </row>
    <row r="2421" spans="1:28" s="219" customFormat="1" ht="20.25">
      <c r="A2421" s="174"/>
      <c r="B2421" s="175" t="str">
        <f>IF(LEN(A2421)=0,"",INDEX('Smelter Look-up'!$A:$A,MATCH($A2421,'Smelter Look-up'!$E:$E,0)))</f>
        <v/>
      </c>
      <c r="C2421" s="179" t="str">
        <f>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339"/>
        <v/>
      </c>
      <c r="T2421" s="174" t="str">
        <f ca="1">IF(B2421="","",IF(ISERROR(MATCH($J2421,SorP!$B$1:$B$6279,0)),"",INDIRECT("'SorP'!$A$"&amp;MATCH($S2421&amp;$J2421,SorP!C:C,0))))</f>
        <v/>
      </c>
      <c r="U2421" s="194"/>
      <c r="V2421" s="218" t="e">
        <f>IF(C2421="",NA(),IF(OR(C2421="Smelter not listed",C2421="Smelter not yet identified"),MATCH($B2421&amp;$D2421,'Smelter Look-up'!$J:$J,0),MATCH($B2421&amp;$C2421,'Smelter Look-up'!$J:$J,0)))</f>
        <v>#N/A</v>
      </c>
      <c r="X2421" s="219">
        <f t="shared" ca="1" si="340"/>
        <v>0</v>
      </c>
      <c r="AB2421" s="220" t="str">
        <f t="shared" si="341"/>
        <v/>
      </c>
    </row>
    <row r="2422" spans="1:28" s="219" customFormat="1" ht="20.25">
      <c r="A2422" s="174"/>
      <c r="B2422" s="175" t="str">
        <f>IF(LEN(A2422)=0,"",INDEX('Smelter Look-up'!$A:$A,MATCH($A2422,'Smelter Look-up'!$E:$E,0)))</f>
        <v/>
      </c>
      <c r="C2422" s="179" t="str">
        <f>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339"/>
        <v/>
      </c>
      <c r="T2422" s="174" t="str">
        <f ca="1">IF(B2422="","",IF(ISERROR(MATCH($J2422,SorP!$B$1:$B$6279,0)),"",INDIRECT("'SorP'!$A$"&amp;MATCH($S2422&amp;$J2422,SorP!C:C,0))))</f>
        <v/>
      </c>
      <c r="U2422" s="194"/>
      <c r="V2422" s="218" t="e">
        <f>IF(C2422="",NA(),IF(OR(C2422="Smelter not listed",C2422="Smelter not yet identified"),MATCH($B2422&amp;$D2422,'Smelter Look-up'!$J:$J,0),MATCH($B2422&amp;$C2422,'Smelter Look-up'!$J:$J,0)))</f>
        <v>#N/A</v>
      </c>
      <c r="X2422" s="219">
        <f t="shared" ca="1" si="340"/>
        <v>0</v>
      </c>
      <c r="AB2422" s="220" t="str">
        <f t="shared" si="341"/>
        <v/>
      </c>
    </row>
    <row r="2423" spans="1:28" s="219" customFormat="1" ht="20.25">
      <c r="A2423" s="174"/>
      <c r="B2423" s="175" t="str">
        <f>IF(LEN(A2423)=0,"",INDEX('Smelter Look-up'!$A:$A,MATCH($A2423,'Smelter Look-up'!$E:$E,0)))</f>
        <v/>
      </c>
      <c r="C2423" s="179" t="str">
        <f>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339"/>
        <v/>
      </c>
      <c r="T2423" s="174" t="str">
        <f ca="1">IF(B2423="","",IF(ISERROR(MATCH($J2423,SorP!$B$1:$B$6279,0)),"",INDIRECT("'SorP'!$A$"&amp;MATCH($S2423&amp;$J2423,SorP!C:C,0))))</f>
        <v/>
      </c>
      <c r="U2423" s="194"/>
      <c r="V2423" s="218" t="e">
        <f>IF(C2423="",NA(),IF(OR(C2423="Smelter not listed",C2423="Smelter not yet identified"),MATCH($B2423&amp;$D2423,'Smelter Look-up'!$J:$J,0),MATCH($B2423&amp;$C2423,'Smelter Look-up'!$J:$J,0)))</f>
        <v>#N/A</v>
      </c>
      <c r="X2423" s="219">
        <f t="shared" ca="1" si="340"/>
        <v>0</v>
      </c>
      <c r="AB2423" s="220" t="str">
        <f t="shared" si="341"/>
        <v/>
      </c>
    </row>
    <row r="2424" spans="1:28" s="219" customFormat="1" ht="20.25">
      <c r="A2424" s="174"/>
      <c r="B2424" s="175" t="str">
        <f>IF(LEN(A2424)=0,"",INDEX('Smelter Look-up'!$A:$A,MATCH($A2424,'Smelter Look-up'!$E:$E,0)))</f>
        <v/>
      </c>
      <c r="C2424" s="179" t="str">
        <f>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339"/>
        <v/>
      </c>
      <c r="T2424" s="174" t="str">
        <f ca="1">IF(B2424="","",IF(ISERROR(MATCH($J2424,SorP!$B$1:$B$6279,0)),"",INDIRECT("'SorP'!$A$"&amp;MATCH($S2424&amp;$J2424,SorP!C:C,0))))</f>
        <v/>
      </c>
      <c r="U2424" s="194"/>
      <c r="V2424" s="218" t="e">
        <f>IF(C2424="",NA(),IF(OR(C2424="Smelter not listed",C2424="Smelter not yet identified"),MATCH($B2424&amp;$D2424,'Smelter Look-up'!$J:$J,0),MATCH($B2424&amp;$C2424,'Smelter Look-up'!$J:$J,0)))</f>
        <v>#N/A</v>
      </c>
      <c r="X2424" s="219">
        <f t="shared" ca="1" si="340"/>
        <v>0</v>
      </c>
      <c r="AB2424" s="220" t="str">
        <f t="shared" si="341"/>
        <v/>
      </c>
    </row>
    <row r="2425" spans="1:28" s="219" customFormat="1" ht="20.25">
      <c r="A2425" s="174"/>
      <c r="B2425" s="175" t="str">
        <f>IF(LEN(A2425)=0,"",INDEX('Smelter Look-up'!$A:$A,MATCH($A2425,'Smelter Look-up'!$E:$E,0)))</f>
        <v/>
      </c>
      <c r="C2425" s="179" t="str">
        <f>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ca="1" si="339"/>
        <v/>
      </c>
      <c r="T2425" s="174" t="str">
        <f ca="1">IF(B2425="","",IF(ISERROR(MATCH($J2425,SorP!$B$1:$B$6279,0)),"",INDIRECT("'SorP'!$A$"&amp;MATCH($S2425&amp;$J2425,SorP!C:C,0))))</f>
        <v/>
      </c>
      <c r="U2425" s="194"/>
      <c r="V2425" s="218" t="e">
        <f>IF(C2425="",NA(),IF(OR(C2425="Smelter not listed",C2425="Smelter not yet identified"),MATCH($B2425&amp;$D2425,'Smelter Look-up'!$J:$J,0),MATCH($B2425&amp;$C2425,'Smelter Look-up'!$J:$J,0)))</f>
        <v>#N/A</v>
      </c>
      <c r="X2425" s="219">
        <f t="shared" ca="1" si="340"/>
        <v>0</v>
      </c>
      <c r="AB2425" s="220" t="str">
        <f t="shared" si="341"/>
        <v/>
      </c>
    </row>
    <row r="2426" spans="1:28" s="219" customFormat="1" ht="20.25">
      <c r="A2426" s="174"/>
      <c r="B2426" s="175" t="str">
        <f>IF(LEN(A2426)=0,"",INDEX('Smelter Look-up'!$A:$A,MATCH($A2426,'Smelter Look-up'!$E:$E,0)))</f>
        <v/>
      </c>
      <c r="C2426" s="179" t="str">
        <f>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ca="1" si="339"/>
        <v/>
      </c>
      <c r="T2426" s="174" t="str">
        <f ca="1">IF(B2426="","",IF(ISERROR(MATCH($J2426,SorP!$B$1:$B$6279,0)),"",INDIRECT("'SorP'!$A$"&amp;MATCH($S2426&amp;$J2426,SorP!C:C,0))))</f>
        <v/>
      </c>
      <c r="U2426" s="194"/>
      <c r="V2426" s="218" t="e">
        <f>IF(C2426="",NA(),IF(OR(C2426="Smelter not listed",C2426="Smelter not yet identified"),MATCH($B2426&amp;$D2426,'Smelter Look-up'!$J:$J,0),MATCH($B2426&amp;$C2426,'Smelter Look-up'!$J:$J,0)))</f>
        <v>#N/A</v>
      </c>
      <c r="X2426" s="219">
        <f t="shared" ca="1" si="340"/>
        <v>0</v>
      </c>
      <c r="AB2426" s="220" t="str">
        <f t="shared" si="341"/>
        <v/>
      </c>
    </row>
    <row r="2427" spans="1:28" s="219" customFormat="1" ht="20.25">
      <c r="A2427" s="174"/>
      <c r="B2427" s="175" t="str">
        <f>IF(LEN(A2427)=0,"",INDEX('Smelter Look-up'!$A:$A,MATCH($A2427,'Smelter Look-up'!$E:$E,0)))</f>
        <v/>
      </c>
      <c r="C2427" s="179" t="str">
        <f>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t="shared" ref="S2427" ca="1" si="342">IF(B2427="","",IF(ISERROR(MATCH($E2427,CL,0)),"Unknown",INDIRECT("'C'!$A$"&amp;MATCH($E2427,CL,0)+1)))</f>
        <v/>
      </c>
      <c r="T2427" s="174" t="str">
        <f ca="1">IF(B2427="","",IF(ISERROR(MATCH($J2427,SorP!$B$1:$B$6279,0)),"",INDIRECT("'SorP'!$A$"&amp;MATCH($S2427&amp;$J2427,SorP!C:C,0))))</f>
        <v/>
      </c>
      <c r="U2427" s="194"/>
      <c r="V2427" s="218" t="e">
        <f>IF(C2427="",NA(),IF(OR(C2427="Smelter not listed",C2427="Smelter not yet identified"),MATCH($B2427&amp;$D2427,'Smelter Look-up'!$J:$J,0),MATCH($B2427&amp;$C2427,'Smelter Look-up'!$J:$J,0)))</f>
        <v>#N/A</v>
      </c>
      <c r="X2427" s="219">
        <f t="shared" ref="X2427" ca="1" si="343">IF(AND(C2427="Smelter not listed",OR(LEN(D2427)=0,LEN(E2427)=0)),1,0)</f>
        <v>0</v>
      </c>
      <c r="AB2427" s="220" t="str">
        <f t="shared" ref="AB2427" si="344">B2427&amp;C2427</f>
        <v/>
      </c>
    </row>
    <row r="2428" spans="1:28" s="219" customFormat="1" ht="20.25">
      <c r="A2428" s="174"/>
      <c r="B2428" s="175" t="str">
        <f>IF(LEN(A2428)=0,"",INDEX('Smelter Look-up'!$A:$A,MATCH($A2428,'Smelter Look-up'!$E:$E,0)))</f>
        <v/>
      </c>
      <c r="C2428" s="179" t="str">
        <f>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ref="S2428:S2459" ca="1" si="345">IF(B2428="","",IF(ISERROR(MATCH($E2428,CL,0)),"Unknown",INDIRECT("'C'!$A$"&amp;MATCH($E2428,CL,0)+1)))</f>
        <v/>
      </c>
      <c r="T2428" s="174" t="str">
        <f ca="1">IF(B2428="","",IF(ISERROR(MATCH($J2428,SorP!$B$1:$B$6279,0)),"",INDIRECT("'SorP'!$A$"&amp;MATCH($S2428&amp;$J2428,SorP!C:C,0))))</f>
        <v/>
      </c>
      <c r="U2428" s="194"/>
      <c r="V2428" s="218" t="e">
        <f>IF(C2428="",NA(),IF(OR(C2428="Smelter not listed",C2428="Smelter not yet identified"),MATCH($B2428&amp;$D2428,'Smelter Look-up'!$J:$J,0),MATCH($B2428&amp;$C2428,'Smelter Look-up'!$J:$J,0)))</f>
        <v>#N/A</v>
      </c>
      <c r="X2428" s="219">
        <f t="shared" ref="X2428:X2459" ca="1" si="346">IF(AND(C2428="Smelter not listed",OR(LEN(D2428)=0,LEN(E2428)=0)),1,0)</f>
        <v>0</v>
      </c>
      <c r="AB2428" s="220" t="str">
        <f t="shared" ref="AB2428:AB2459" si="347">B2428&amp;C2428</f>
        <v/>
      </c>
    </row>
    <row r="2429" spans="1:28" s="219" customFormat="1" ht="20.25">
      <c r="A2429" s="174"/>
      <c r="B2429" s="175" t="str">
        <f>IF(LEN(A2429)=0,"",INDEX('Smelter Look-up'!$A:$A,MATCH($A2429,'Smelter Look-up'!$E:$E,0)))</f>
        <v/>
      </c>
      <c r="C2429" s="179" t="str">
        <f>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345"/>
        <v/>
      </c>
      <c r="T2429" s="174" t="str">
        <f ca="1">IF(B2429="","",IF(ISERROR(MATCH($J2429,SorP!$B$1:$B$6279,0)),"",INDIRECT("'SorP'!$A$"&amp;MATCH($S2429&amp;$J2429,SorP!C:C,0))))</f>
        <v/>
      </c>
      <c r="U2429" s="194"/>
      <c r="V2429" s="218" t="e">
        <f>IF(C2429="",NA(),IF(OR(C2429="Smelter not listed",C2429="Smelter not yet identified"),MATCH($B2429&amp;$D2429,'Smelter Look-up'!$J:$J,0),MATCH($B2429&amp;$C2429,'Smelter Look-up'!$J:$J,0)))</f>
        <v>#N/A</v>
      </c>
      <c r="X2429" s="219">
        <f t="shared" ca="1" si="346"/>
        <v>0</v>
      </c>
      <c r="AB2429" s="220" t="str">
        <f t="shared" si="347"/>
        <v/>
      </c>
    </row>
    <row r="2430" spans="1:28" s="219" customFormat="1" ht="20.25">
      <c r="A2430" s="174"/>
      <c r="B2430" s="175" t="str">
        <f>IF(LEN(A2430)=0,"",INDEX('Smelter Look-up'!$A:$A,MATCH($A2430,'Smelter Look-up'!$E:$E,0)))</f>
        <v/>
      </c>
      <c r="C2430" s="179" t="str">
        <f>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345"/>
        <v/>
      </c>
      <c r="T2430" s="174" t="str">
        <f ca="1">IF(B2430="","",IF(ISERROR(MATCH($J2430,SorP!$B$1:$B$6279,0)),"",INDIRECT("'SorP'!$A$"&amp;MATCH($S2430&amp;$J2430,SorP!C:C,0))))</f>
        <v/>
      </c>
      <c r="U2430" s="194"/>
      <c r="V2430" s="218" t="e">
        <f>IF(C2430="",NA(),IF(OR(C2430="Smelter not listed",C2430="Smelter not yet identified"),MATCH($B2430&amp;$D2430,'Smelter Look-up'!$J:$J,0),MATCH($B2430&amp;$C2430,'Smelter Look-up'!$J:$J,0)))</f>
        <v>#N/A</v>
      </c>
      <c r="X2430" s="219">
        <f t="shared" ca="1" si="346"/>
        <v>0</v>
      </c>
      <c r="AB2430" s="220" t="str">
        <f t="shared" si="347"/>
        <v/>
      </c>
    </row>
    <row r="2431" spans="1:28" s="219" customFormat="1" ht="20.25">
      <c r="A2431" s="174"/>
      <c r="B2431" s="175" t="str">
        <f>IF(LEN(A2431)=0,"",INDEX('Smelter Look-up'!$A:$A,MATCH($A2431,'Smelter Look-up'!$E:$E,0)))</f>
        <v/>
      </c>
      <c r="C2431" s="179" t="str">
        <f>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345"/>
        <v/>
      </c>
      <c r="T2431" s="174" t="str">
        <f ca="1">IF(B2431="","",IF(ISERROR(MATCH($J2431,SorP!$B$1:$B$6279,0)),"",INDIRECT("'SorP'!$A$"&amp;MATCH($S2431&amp;$J2431,SorP!C:C,0))))</f>
        <v/>
      </c>
      <c r="U2431" s="194"/>
      <c r="V2431" s="218" t="e">
        <f>IF(C2431="",NA(),IF(OR(C2431="Smelter not listed",C2431="Smelter not yet identified"),MATCH($B2431&amp;$D2431,'Smelter Look-up'!$J:$J,0),MATCH($B2431&amp;$C2431,'Smelter Look-up'!$J:$J,0)))</f>
        <v>#N/A</v>
      </c>
      <c r="X2431" s="219">
        <f t="shared" ca="1" si="346"/>
        <v>0</v>
      </c>
      <c r="AB2431" s="220" t="str">
        <f t="shared" si="347"/>
        <v/>
      </c>
    </row>
    <row r="2432" spans="1:28" s="219" customFormat="1" ht="20.25">
      <c r="A2432" s="174"/>
      <c r="B2432" s="175" t="str">
        <f>IF(LEN(A2432)=0,"",INDEX('Smelter Look-up'!$A:$A,MATCH($A2432,'Smelter Look-up'!$E:$E,0)))</f>
        <v/>
      </c>
      <c r="C2432" s="179" t="str">
        <f>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345"/>
        <v/>
      </c>
      <c r="T2432" s="174" t="str">
        <f ca="1">IF(B2432="","",IF(ISERROR(MATCH($J2432,SorP!$B$1:$B$6279,0)),"",INDIRECT("'SorP'!$A$"&amp;MATCH($S2432&amp;$J2432,SorP!C:C,0))))</f>
        <v/>
      </c>
      <c r="U2432" s="194"/>
      <c r="V2432" s="218" t="e">
        <f>IF(C2432="",NA(),IF(OR(C2432="Smelter not listed",C2432="Smelter not yet identified"),MATCH($B2432&amp;$D2432,'Smelter Look-up'!$J:$J,0),MATCH($B2432&amp;$C2432,'Smelter Look-up'!$J:$J,0)))</f>
        <v>#N/A</v>
      </c>
      <c r="X2432" s="219">
        <f t="shared" ca="1" si="346"/>
        <v>0</v>
      </c>
      <c r="AB2432" s="220" t="str">
        <f t="shared" si="347"/>
        <v/>
      </c>
    </row>
    <row r="2433" spans="1:28" s="219" customFormat="1" ht="20.25">
      <c r="A2433" s="174"/>
      <c r="B2433" s="175" t="str">
        <f>IF(LEN(A2433)=0,"",INDEX('Smelter Look-up'!$A:$A,MATCH($A2433,'Smelter Look-up'!$E:$E,0)))</f>
        <v/>
      </c>
      <c r="C2433" s="179" t="str">
        <f>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345"/>
        <v/>
      </c>
      <c r="T2433" s="174" t="str">
        <f ca="1">IF(B2433="","",IF(ISERROR(MATCH($J2433,SorP!$B$1:$B$6279,0)),"",INDIRECT("'SorP'!$A$"&amp;MATCH($S2433&amp;$J2433,SorP!C:C,0))))</f>
        <v/>
      </c>
      <c r="U2433" s="194"/>
      <c r="V2433" s="218" t="e">
        <f>IF(C2433="",NA(),IF(OR(C2433="Smelter not listed",C2433="Smelter not yet identified"),MATCH($B2433&amp;$D2433,'Smelter Look-up'!$J:$J,0),MATCH($B2433&amp;$C2433,'Smelter Look-up'!$J:$J,0)))</f>
        <v>#N/A</v>
      </c>
      <c r="X2433" s="219">
        <f t="shared" ca="1" si="346"/>
        <v>0</v>
      </c>
      <c r="AB2433" s="220" t="str">
        <f t="shared" si="347"/>
        <v/>
      </c>
    </row>
    <row r="2434" spans="1:28" s="219" customFormat="1" ht="20.25">
      <c r="A2434" s="174"/>
      <c r="B2434" s="175" t="str">
        <f>IF(LEN(A2434)=0,"",INDEX('Smelter Look-up'!$A:$A,MATCH($A2434,'Smelter Look-up'!$E:$E,0)))</f>
        <v/>
      </c>
      <c r="C2434" s="179" t="str">
        <f>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345"/>
        <v/>
      </c>
      <c r="T2434" s="174" t="str">
        <f ca="1">IF(B2434="","",IF(ISERROR(MATCH($J2434,SorP!$B$1:$B$6279,0)),"",INDIRECT("'SorP'!$A$"&amp;MATCH($S2434&amp;$J2434,SorP!C:C,0))))</f>
        <v/>
      </c>
      <c r="U2434" s="194"/>
      <c r="V2434" s="218" t="e">
        <f>IF(C2434="",NA(),IF(OR(C2434="Smelter not listed",C2434="Smelter not yet identified"),MATCH($B2434&amp;$D2434,'Smelter Look-up'!$J:$J,0),MATCH($B2434&amp;$C2434,'Smelter Look-up'!$J:$J,0)))</f>
        <v>#N/A</v>
      </c>
      <c r="X2434" s="219">
        <f t="shared" ca="1" si="346"/>
        <v>0</v>
      </c>
      <c r="AB2434" s="220" t="str">
        <f t="shared" si="347"/>
        <v/>
      </c>
    </row>
    <row r="2435" spans="1:28" s="219" customFormat="1" ht="20.25">
      <c r="A2435" s="174"/>
      <c r="B2435" s="175" t="str">
        <f>IF(LEN(A2435)=0,"",INDEX('Smelter Look-up'!$A:$A,MATCH($A2435,'Smelter Look-up'!$E:$E,0)))</f>
        <v/>
      </c>
      <c r="C2435" s="179" t="str">
        <f>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345"/>
        <v/>
      </c>
      <c r="T2435" s="174" t="str">
        <f ca="1">IF(B2435="","",IF(ISERROR(MATCH($J2435,SorP!$B$1:$B$6279,0)),"",INDIRECT("'SorP'!$A$"&amp;MATCH($S2435&amp;$J2435,SorP!C:C,0))))</f>
        <v/>
      </c>
      <c r="U2435" s="194"/>
      <c r="V2435" s="218" t="e">
        <f>IF(C2435="",NA(),IF(OR(C2435="Smelter not listed",C2435="Smelter not yet identified"),MATCH($B2435&amp;$D2435,'Smelter Look-up'!$J:$J,0),MATCH($B2435&amp;$C2435,'Smelter Look-up'!$J:$J,0)))</f>
        <v>#N/A</v>
      </c>
      <c r="X2435" s="219">
        <f t="shared" ca="1" si="346"/>
        <v>0</v>
      </c>
      <c r="AB2435" s="220" t="str">
        <f t="shared" si="347"/>
        <v/>
      </c>
    </row>
    <row r="2436" spans="1:28" s="219" customFormat="1" ht="20.25">
      <c r="A2436" s="174"/>
      <c r="B2436" s="175" t="str">
        <f>IF(LEN(A2436)=0,"",INDEX('Smelter Look-up'!$A:$A,MATCH($A2436,'Smelter Look-up'!$E:$E,0)))</f>
        <v/>
      </c>
      <c r="C2436" s="179" t="str">
        <f>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345"/>
        <v/>
      </c>
      <c r="T2436" s="174" t="str">
        <f ca="1">IF(B2436="","",IF(ISERROR(MATCH($J2436,SorP!$B$1:$B$6279,0)),"",INDIRECT("'SorP'!$A$"&amp;MATCH($S2436&amp;$J2436,SorP!C:C,0))))</f>
        <v/>
      </c>
      <c r="U2436" s="194"/>
      <c r="V2436" s="218" t="e">
        <f>IF(C2436="",NA(),IF(OR(C2436="Smelter not listed",C2436="Smelter not yet identified"),MATCH($B2436&amp;$D2436,'Smelter Look-up'!$J:$J,0),MATCH($B2436&amp;$C2436,'Smelter Look-up'!$J:$J,0)))</f>
        <v>#N/A</v>
      </c>
      <c r="X2436" s="219">
        <f t="shared" ca="1" si="346"/>
        <v>0</v>
      </c>
      <c r="AB2436" s="220" t="str">
        <f t="shared" si="347"/>
        <v/>
      </c>
    </row>
    <row r="2437" spans="1:28" s="219" customFormat="1" ht="20.25">
      <c r="A2437" s="174"/>
      <c r="B2437" s="175" t="str">
        <f>IF(LEN(A2437)=0,"",INDEX('Smelter Look-up'!$A:$A,MATCH($A2437,'Smelter Look-up'!$E:$E,0)))</f>
        <v/>
      </c>
      <c r="C2437" s="179" t="str">
        <f>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345"/>
        <v/>
      </c>
      <c r="T2437" s="174" t="str">
        <f ca="1">IF(B2437="","",IF(ISERROR(MATCH($J2437,SorP!$B$1:$B$6279,0)),"",INDIRECT("'SorP'!$A$"&amp;MATCH($S2437&amp;$J2437,SorP!C:C,0))))</f>
        <v/>
      </c>
      <c r="U2437" s="194"/>
      <c r="V2437" s="218" t="e">
        <f>IF(C2437="",NA(),IF(OR(C2437="Smelter not listed",C2437="Smelter not yet identified"),MATCH($B2437&amp;$D2437,'Smelter Look-up'!$J:$J,0),MATCH($B2437&amp;$C2437,'Smelter Look-up'!$J:$J,0)))</f>
        <v>#N/A</v>
      </c>
      <c r="X2437" s="219">
        <f t="shared" ca="1" si="346"/>
        <v>0</v>
      </c>
      <c r="AB2437" s="220" t="str">
        <f t="shared" si="347"/>
        <v/>
      </c>
    </row>
    <row r="2438" spans="1:28" s="219" customFormat="1" ht="20.25">
      <c r="A2438" s="174"/>
      <c r="B2438" s="175" t="str">
        <f>IF(LEN(A2438)=0,"",INDEX('Smelter Look-up'!$A:$A,MATCH($A2438,'Smelter Look-up'!$E:$E,0)))</f>
        <v/>
      </c>
      <c r="C2438" s="179" t="str">
        <f>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345"/>
        <v/>
      </c>
      <c r="T2438" s="174" t="str">
        <f ca="1">IF(B2438="","",IF(ISERROR(MATCH($J2438,SorP!$B$1:$B$6279,0)),"",INDIRECT("'SorP'!$A$"&amp;MATCH($S2438&amp;$J2438,SorP!C:C,0))))</f>
        <v/>
      </c>
      <c r="U2438" s="194"/>
      <c r="V2438" s="218" t="e">
        <f>IF(C2438="",NA(),IF(OR(C2438="Smelter not listed",C2438="Smelter not yet identified"),MATCH($B2438&amp;$D2438,'Smelter Look-up'!$J:$J,0),MATCH($B2438&amp;$C2438,'Smelter Look-up'!$J:$J,0)))</f>
        <v>#N/A</v>
      </c>
      <c r="X2438" s="219">
        <f t="shared" ca="1" si="346"/>
        <v>0</v>
      </c>
      <c r="AB2438" s="220" t="str">
        <f t="shared" si="347"/>
        <v/>
      </c>
    </row>
    <row r="2439" spans="1:28" s="219" customFormat="1" ht="20.25">
      <c r="A2439" s="174"/>
      <c r="B2439" s="175" t="str">
        <f>IF(LEN(A2439)=0,"",INDEX('Smelter Look-up'!$A:$A,MATCH($A2439,'Smelter Look-up'!$E:$E,0)))</f>
        <v/>
      </c>
      <c r="C2439" s="179" t="str">
        <f>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345"/>
        <v/>
      </c>
      <c r="T2439" s="174" t="str">
        <f ca="1">IF(B2439="","",IF(ISERROR(MATCH($J2439,SorP!$B$1:$B$6279,0)),"",INDIRECT("'SorP'!$A$"&amp;MATCH($S2439&amp;$J2439,SorP!C:C,0))))</f>
        <v/>
      </c>
      <c r="U2439" s="194"/>
      <c r="V2439" s="218" t="e">
        <f>IF(C2439="",NA(),IF(OR(C2439="Smelter not listed",C2439="Smelter not yet identified"),MATCH($B2439&amp;$D2439,'Smelter Look-up'!$J:$J,0),MATCH($B2439&amp;$C2439,'Smelter Look-up'!$J:$J,0)))</f>
        <v>#N/A</v>
      </c>
      <c r="X2439" s="219">
        <f t="shared" ca="1" si="346"/>
        <v>0</v>
      </c>
      <c r="AB2439" s="220" t="str">
        <f t="shared" si="347"/>
        <v/>
      </c>
    </row>
    <row r="2440" spans="1:28" s="219" customFormat="1" ht="20.25">
      <c r="A2440" s="174"/>
      <c r="B2440" s="175" t="str">
        <f>IF(LEN(A2440)=0,"",INDEX('Smelter Look-up'!$A:$A,MATCH($A2440,'Smelter Look-up'!$E:$E,0)))</f>
        <v/>
      </c>
      <c r="C2440" s="179" t="str">
        <f>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345"/>
        <v/>
      </c>
      <c r="T2440" s="174" t="str">
        <f ca="1">IF(B2440="","",IF(ISERROR(MATCH($J2440,SorP!$B$1:$B$6279,0)),"",INDIRECT("'SorP'!$A$"&amp;MATCH($S2440&amp;$J2440,SorP!C:C,0))))</f>
        <v/>
      </c>
      <c r="U2440" s="194"/>
      <c r="V2440" s="218" t="e">
        <f>IF(C2440="",NA(),IF(OR(C2440="Smelter not listed",C2440="Smelter not yet identified"),MATCH($B2440&amp;$D2440,'Smelter Look-up'!$J:$J,0),MATCH($B2440&amp;$C2440,'Smelter Look-up'!$J:$J,0)))</f>
        <v>#N/A</v>
      </c>
      <c r="X2440" s="219">
        <f t="shared" ca="1" si="346"/>
        <v>0</v>
      </c>
      <c r="AB2440" s="220" t="str">
        <f t="shared" si="347"/>
        <v/>
      </c>
    </row>
    <row r="2441" spans="1:28" s="219" customFormat="1" ht="20.25">
      <c r="A2441" s="174"/>
      <c r="B2441" s="175" t="str">
        <f>IF(LEN(A2441)=0,"",INDEX('Smelter Look-up'!$A:$A,MATCH($A2441,'Smelter Look-up'!$E:$E,0)))</f>
        <v/>
      </c>
      <c r="C2441" s="179" t="str">
        <f>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345"/>
        <v/>
      </c>
      <c r="T2441" s="174" t="str">
        <f ca="1">IF(B2441="","",IF(ISERROR(MATCH($J2441,SorP!$B$1:$B$6279,0)),"",INDIRECT("'SorP'!$A$"&amp;MATCH($S2441&amp;$J2441,SorP!C:C,0))))</f>
        <v/>
      </c>
      <c r="U2441" s="194"/>
      <c r="V2441" s="218" t="e">
        <f>IF(C2441="",NA(),IF(OR(C2441="Smelter not listed",C2441="Smelter not yet identified"),MATCH($B2441&amp;$D2441,'Smelter Look-up'!$J:$J,0),MATCH($B2441&amp;$C2441,'Smelter Look-up'!$J:$J,0)))</f>
        <v>#N/A</v>
      </c>
      <c r="X2441" s="219">
        <f t="shared" ca="1" si="346"/>
        <v>0</v>
      </c>
      <c r="AB2441" s="220" t="str">
        <f t="shared" si="347"/>
        <v/>
      </c>
    </row>
    <row r="2442" spans="1:28" s="219" customFormat="1" ht="20.25">
      <c r="A2442" s="174"/>
      <c r="B2442" s="175" t="str">
        <f>IF(LEN(A2442)=0,"",INDEX('Smelter Look-up'!$A:$A,MATCH($A2442,'Smelter Look-up'!$E:$E,0)))</f>
        <v/>
      </c>
      <c r="C2442" s="179" t="str">
        <f>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345"/>
        <v/>
      </c>
      <c r="T2442" s="174" t="str">
        <f ca="1">IF(B2442="","",IF(ISERROR(MATCH($J2442,SorP!$B$1:$B$6279,0)),"",INDIRECT("'SorP'!$A$"&amp;MATCH($S2442&amp;$J2442,SorP!C:C,0))))</f>
        <v/>
      </c>
      <c r="U2442" s="194"/>
      <c r="V2442" s="218" t="e">
        <f>IF(C2442="",NA(),IF(OR(C2442="Smelter not listed",C2442="Smelter not yet identified"),MATCH($B2442&amp;$D2442,'Smelter Look-up'!$J:$J,0),MATCH($B2442&amp;$C2442,'Smelter Look-up'!$J:$J,0)))</f>
        <v>#N/A</v>
      </c>
      <c r="X2442" s="219">
        <f t="shared" ca="1" si="346"/>
        <v>0</v>
      </c>
      <c r="AB2442" s="220" t="str">
        <f t="shared" si="347"/>
        <v/>
      </c>
    </row>
    <row r="2443" spans="1:28" s="219" customFormat="1" ht="20.25">
      <c r="A2443" s="174"/>
      <c r="B2443" s="175" t="str">
        <f>IF(LEN(A2443)=0,"",INDEX('Smelter Look-up'!$A:$A,MATCH($A2443,'Smelter Look-up'!$E:$E,0)))</f>
        <v/>
      </c>
      <c r="C2443" s="179" t="str">
        <f>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345"/>
        <v/>
      </c>
      <c r="T2443" s="174" t="str">
        <f ca="1">IF(B2443="","",IF(ISERROR(MATCH($J2443,SorP!$B$1:$B$6279,0)),"",INDIRECT("'SorP'!$A$"&amp;MATCH($S2443&amp;$J2443,SorP!C:C,0))))</f>
        <v/>
      </c>
      <c r="U2443" s="194"/>
      <c r="V2443" s="218" t="e">
        <f>IF(C2443="",NA(),IF(OR(C2443="Smelter not listed",C2443="Smelter not yet identified"),MATCH($B2443&amp;$D2443,'Smelter Look-up'!$J:$J,0),MATCH($B2443&amp;$C2443,'Smelter Look-up'!$J:$J,0)))</f>
        <v>#N/A</v>
      </c>
      <c r="X2443" s="219">
        <f t="shared" ca="1" si="346"/>
        <v>0</v>
      </c>
      <c r="AB2443" s="220" t="str">
        <f t="shared" si="347"/>
        <v/>
      </c>
    </row>
    <row r="2444" spans="1:28" s="219" customFormat="1" ht="20.25">
      <c r="A2444" s="174"/>
      <c r="B2444" s="175" t="str">
        <f>IF(LEN(A2444)=0,"",INDEX('Smelter Look-up'!$A:$A,MATCH($A2444,'Smelter Look-up'!$E:$E,0)))</f>
        <v/>
      </c>
      <c r="C2444" s="179" t="str">
        <f>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345"/>
        <v/>
      </c>
      <c r="T2444" s="174" t="str">
        <f ca="1">IF(B2444="","",IF(ISERROR(MATCH($J2444,SorP!$B$1:$B$6279,0)),"",INDIRECT("'SorP'!$A$"&amp;MATCH($S2444&amp;$J2444,SorP!C:C,0))))</f>
        <v/>
      </c>
      <c r="U2444" s="194"/>
      <c r="V2444" s="218" t="e">
        <f>IF(C2444="",NA(),IF(OR(C2444="Smelter not listed",C2444="Smelter not yet identified"),MATCH($B2444&amp;$D2444,'Smelter Look-up'!$J:$J,0),MATCH($B2444&amp;$C2444,'Smelter Look-up'!$J:$J,0)))</f>
        <v>#N/A</v>
      </c>
      <c r="X2444" s="219">
        <f t="shared" ca="1" si="346"/>
        <v>0</v>
      </c>
      <c r="AB2444" s="220" t="str">
        <f t="shared" si="347"/>
        <v/>
      </c>
    </row>
    <row r="2445" spans="1:28" s="219" customFormat="1" ht="20.25">
      <c r="A2445" s="174"/>
      <c r="B2445" s="175" t="str">
        <f>IF(LEN(A2445)=0,"",INDEX('Smelter Look-up'!$A:$A,MATCH($A2445,'Smelter Look-up'!$E:$E,0)))</f>
        <v/>
      </c>
      <c r="C2445" s="179" t="str">
        <f>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345"/>
        <v/>
      </c>
      <c r="T2445" s="174" t="str">
        <f ca="1">IF(B2445="","",IF(ISERROR(MATCH($J2445,SorP!$B$1:$B$6279,0)),"",INDIRECT("'SorP'!$A$"&amp;MATCH($S2445&amp;$J2445,SorP!C:C,0))))</f>
        <v/>
      </c>
      <c r="U2445" s="194"/>
      <c r="V2445" s="218" t="e">
        <f>IF(C2445="",NA(),IF(OR(C2445="Smelter not listed",C2445="Smelter not yet identified"),MATCH($B2445&amp;$D2445,'Smelter Look-up'!$J:$J,0),MATCH($B2445&amp;$C2445,'Smelter Look-up'!$J:$J,0)))</f>
        <v>#N/A</v>
      </c>
      <c r="X2445" s="219">
        <f t="shared" ca="1" si="346"/>
        <v>0</v>
      </c>
      <c r="AB2445" s="220" t="str">
        <f t="shared" si="347"/>
        <v/>
      </c>
    </row>
    <row r="2446" spans="1:28" s="219" customFormat="1" ht="20.25">
      <c r="A2446" s="174"/>
      <c r="B2446" s="175" t="str">
        <f>IF(LEN(A2446)=0,"",INDEX('Smelter Look-up'!$A:$A,MATCH($A2446,'Smelter Look-up'!$E:$E,0)))</f>
        <v/>
      </c>
      <c r="C2446" s="179" t="str">
        <f>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345"/>
        <v/>
      </c>
      <c r="T2446" s="174" t="str">
        <f ca="1">IF(B2446="","",IF(ISERROR(MATCH($J2446,SorP!$B$1:$B$6279,0)),"",INDIRECT("'SorP'!$A$"&amp;MATCH($S2446&amp;$J2446,SorP!C:C,0))))</f>
        <v/>
      </c>
      <c r="U2446" s="194"/>
      <c r="V2446" s="218" t="e">
        <f>IF(C2446="",NA(),IF(OR(C2446="Smelter not listed",C2446="Smelter not yet identified"),MATCH($B2446&amp;$D2446,'Smelter Look-up'!$J:$J,0),MATCH($B2446&amp;$C2446,'Smelter Look-up'!$J:$J,0)))</f>
        <v>#N/A</v>
      </c>
      <c r="X2446" s="219">
        <f t="shared" ca="1" si="346"/>
        <v>0</v>
      </c>
      <c r="AB2446" s="220" t="str">
        <f t="shared" si="347"/>
        <v/>
      </c>
    </row>
    <row r="2447" spans="1:28" s="219" customFormat="1" ht="20.25">
      <c r="A2447" s="174"/>
      <c r="B2447" s="175" t="str">
        <f>IF(LEN(A2447)=0,"",INDEX('Smelter Look-up'!$A:$A,MATCH($A2447,'Smelter Look-up'!$E:$E,0)))</f>
        <v/>
      </c>
      <c r="C2447" s="179" t="str">
        <f>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345"/>
        <v/>
      </c>
      <c r="T2447" s="174" t="str">
        <f ca="1">IF(B2447="","",IF(ISERROR(MATCH($J2447,SorP!$B$1:$B$6279,0)),"",INDIRECT("'SorP'!$A$"&amp;MATCH($S2447&amp;$J2447,SorP!C:C,0))))</f>
        <v/>
      </c>
      <c r="U2447" s="194"/>
      <c r="V2447" s="218" t="e">
        <f>IF(C2447="",NA(),IF(OR(C2447="Smelter not listed",C2447="Smelter not yet identified"),MATCH($B2447&amp;$D2447,'Smelter Look-up'!$J:$J,0),MATCH($B2447&amp;$C2447,'Smelter Look-up'!$J:$J,0)))</f>
        <v>#N/A</v>
      </c>
      <c r="X2447" s="219">
        <f t="shared" ca="1" si="346"/>
        <v>0</v>
      </c>
      <c r="AB2447" s="220" t="str">
        <f t="shared" si="347"/>
        <v/>
      </c>
    </row>
    <row r="2448" spans="1:28" s="219" customFormat="1" ht="20.25">
      <c r="A2448" s="174"/>
      <c r="B2448" s="175" t="str">
        <f>IF(LEN(A2448)=0,"",INDEX('Smelter Look-up'!$A:$A,MATCH($A2448,'Smelter Look-up'!$E:$E,0)))</f>
        <v/>
      </c>
      <c r="C2448" s="179" t="str">
        <f>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345"/>
        <v/>
      </c>
      <c r="T2448" s="174" t="str">
        <f ca="1">IF(B2448="","",IF(ISERROR(MATCH($J2448,SorP!$B$1:$B$6279,0)),"",INDIRECT("'SorP'!$A$"&amp;MATCH($S2448&amp;$J2448,SorP!C:C,0))))</f>
        <v/>
      </c>
      <c r="U2448" s="194"/>
      <c r="V2448" s="218" t="e">
        <f>IF(C2448="",NA(),IF(OR(C2448="Smelter not listed",C2448="Smelter not yet identified"),MATCH($B2448&amp;$D2448,'Smelter Look-up'!$J:$J,0),MATCH($B2448&amp;$C2448,'Smelter Look-up'!$J:$J,0)))</f>
        <v>#N/A</v>
      </c>
      <c r="X2448" s="219">
        <f t="shared" ca="1" si="346"/>
        <v>0</v>
      </c>
      <c r="AB2448" s="220" t="str">
        <f t="shared" si="347"/>
        <v/>
      </c>
    </row>
    <row r="2449" spans="1:28" s="219" customFormat="1" ht="20.25">
      <c r="A2449" s="174"/>
      <c r="B2449" s="175" t="str">
        <f>IF(LEN(A2449)=0,"",INDEX('Smelter Look-up'!$A:$A,MATCH($A2449,'Smelter Look-up'!$E:$E,0)))</f>
        <v/>
      </c>
      <c r="C2449" s="179" t="str">
        <f>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345"/>
        <v/>
      </c>
      <c r="T2449" s="174" t="str">
        <f ca="1">IF(B2449="","",IF(ISERROR(MATCH($J2449,SorP!$B$1:$B$6279,0)),"",INDIRECT("'SorP'!$A$"&amp;MATCH($S2449&amp;$J2449,SorP!C:C,0))))</f>
        <v/>
      </c>
      <c r="U2449" s="194"/>
      <c r="V2449" s="218" t="e">
        <f>IF(C2449="",NA(),IF(OR(C2449="Smelter not listed",C2449="Smelter not yet identified"),MATCH($B2449&amp;$D2449,'Smelter Look-up'!$J:$J,0),MATCH($B2449&amp;$C2449,'Smelter Look-up'!$J:$J,0)))</f>
        <v>#N/A</v>
      </c>
      <c r="X2449" s="219">
        <f t="shared" ca="1" si="346"/>
        <v>0</v>
      </c>
      <c r="AB2449" s="220" t="str">
        <f t="shared" si="347"/>
        <v/>
      </c>
    </row>
    <row r="2450" spans="1:28" s="219" customFormat="1" ht="20.25">
      <c r="A2450" s="174"/>
      <c r="B2450" s="175" t="str">
        <f>IF(LEN(A2450)=0,"",INDEX('Smelter Look-up'!$A:$A,MATCH($A2450,'Smelter Look-up'!$E:$E,0)))</f>
        <v/>
      </c>
      <c r="C2450" s="179" t="str">
        <f>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345"/>
        <v/>
      </c>
      <c r="T2450" s="174" t="str">
        <f ca="1">IF(B2450="","",IF(ISERROR(MATCH($J2450,SorP!$B$1:$B$6279,0)),"",INDIRECT("'SorP'!$A$"&amp;MATCH($S2450&amp;$J2450,SorP!C:C,0))))</f>
        <v/>
      </c>
      <c r="U2450" s="194"/>
      <c r="V2450" s="218" t="e">
        <f>IF(C2450="",NA(),IF(OR(C2450="Smelter not listed",C2450="Smelter not yet identified"),MATCH($B2450&amp;$D2450,'Smelter Look-up'!$J:$J,0),MATCH($B2450&amp;$C2450,'Smelter Look-up'!$J:$J,0)))</f>
        <v>#N/A</v>
      </c>
      <c r="X2450" s="219">
        <f t="shared" ca="1" si="346"/>
        <v>0</v>
      </c>
      <c r="AB2450" s="220" t="str">
        <f t="shared" si="347"/>
        <v/>
      </c>
    </row>
    <row r="2451" spans="1:28" s="219" customFormat="1" ht="20.25">
      <c r="A2451" s="174"/>
      <c r="B2451" s="175" t="str">
        <f>IF(LEN(A2451)=0,"",INDEX('Smelter Look-up'!$A:$A,MATCH($A2451,'Smelter Look-up'!$E:$E,0)))</f>
        <v/>
      </c>
      <c r="C2451" s="179" t="str">
        <f>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345"/>
        <v/>
      </c>
      <c r="T2451" s="174" t="str">
        <f ca="1">IF(B2451="","",IF(ISERROR(MATCH($J2451,SorP!$B$1:$B$6279,0)),"",INDIRECT("'SorP'!$A$"&amp;MATCH($S2451&amp;$J2451,SorP!C:C,0))))</f>
        <v/>
      </c>
      <c r="U2451" s="194"/>
      <c r="V2451" s="218" t="e">
        <f>IF(C2451="",NA(),IF(OR(C2451="Smelter not listed",C2451="Smelter not yet identified"),MATCH($B2451&amp;$D2451,'Smelter Look-up'!$J:$J,0),MATCH($B2451&amp;$C2451,'Smelter Look-up'!$J:$J,0)))</f>
        <v>#N/A</v>
      </c>
      <c r="X2451" s="219">
        <f t="shared" ca="1" si="346"/>
        <v>0</v>
      </c>
      <c r="AB2451" s="220" t="str">
        <f t="shared" si="347"/>
        <v/>
      </c>
    </row>
    <row r="2452" spans="1:28" s="219" customFormat="1" ht="20.25">
      <c r="A2452" s="174"/>
      <c r="B2452" s="175" t="str">
        <f>IF(LEN(A2452)=0,"",INDEX('Smelter Look-up'!$A:$A,MATCH($A2452,'Smelter Look-up'!$E:$E,0)))</f>
        <v/>
      </c>
      <c r="C2452" s="179" t="str">
        <f>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345"/>
        <v/>
      </c>
      <c r="T2452" s="174" t="str">
        <f ca="1">IF(B2452="","",IF(ISERROR(MATCH($J2452,SorP!$B$1:$B$6279,0)),"",INDIRECT("'SorP'!$A$"&amp;MATCH($S2452&amp;$J2452,SorP!C:C,0))))</f>
        <v/>
      </c>
      <c r="U2452" s="194"/>
      <c r="V2452" s="218" t="e">
        <f>IF(C2452="",NA(),IF(OR(C2452="Smelter not listed",C2452="Smelter not yet identified"),MATCH($B2452&amp;$D2452,'Smelter Look-up'!$J:$J,0),MATCH($B2452&amp;$C2452,'Smelter Look-up'!$J:$J,0)))</f>
        <v>#N/A</v>
      </c>
      <c r="X2452" s="219">
        <f t="shared" ca="1" si="346"/>
        <v>0</v>
      </c>
      <c r="AB2452" s="220" t="str">
        <f t="shared" si="347"/>
        <v/>
      </c>
    </row>
    <row r="2453" spans="1:28" s="219" customFormat="1" ht="20.25">
      <c r="A2453" s="174"/>
      <c r="B2453" s="175" t="str">
        <f>IF(LEN(A2453)=0,"",INDEX('Smelter Look-up'!$A:$A,MATCH($A2453,'Smelter Look-up'!$E:$E,0)))</f>
        <v/>
      </c>
      <c r="C2453" s="179" t="str">
        <f>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345"/>
        <v/>
      </c>
      <c r="T2453" s="174" t="str">
        <f ca="1">IF(B2453="","",IF(ISERROR(MATCH($J2453,SorP!$B$1:$B$6279,0)),"",INDIRECT("'SorP'!$A$"&amp;MATCH($S2453&amp;$J2453,SorP!C:C,0))))</f>
        <v/>
      </c>
      <c r="U2453" s="194"/>
      <c r="V2453" s="218" t="e">
        <f>IF(C2453="",NA(),IF(OR(C2453="Smelter not listed",C2453="Smelter not yet identified"),MATCH($B2453&amp;$D2453,'Smelter Look-up'!$J:$J,0),MATCH($B2453&amp;$C2453,'Smelter Look-up'!$J:$J,0)))</f>
        <v>#N/A</v>
      </c>
      <c r="X2453" s="219">
        <f t="shared" ca="1" si="346"/>
        <v>0</v>
      </c>
      <c r="AB2453" s="220" t="str">
        <f t="shared" si="347"/>
        <v/>
      </c>
    </row>
    <row r="2454" spans="1:28" s="219" customFormat="1" ht="20.25">
      <c r="A2454" s="174"/>
      <c r="B2454" s="175" t="str">
        <f>IF(LEN(A2454)=0,"",INDEX('Smelter Look-up'!$A:$A,MATCH($A2454,'Smelter Look-up'!$E:$E,0)))</f>
        <v/>
      </c>
      <c r="C2454" s="179" t="str">
        <f>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345"/>
        <v/>
      </c>
      <c r="T2454" s="174" t="str">
        <f ca="1">IF(B2454="","",IF(ISERROR(MATCH($J2454,SorP!$B$1:$B$6279,0)),"",INDIRECT("'SorP'!$A$"&amp;MATCH($S2454&amp;$J2454,SorP!C:C,0))))</f>
        <v/>
      </c>
      <c r="U2454" s="194"/>
      <c r="V2454" s="218" t="e">
        <f>IF(C2454="",NA(),IF(OR(C2454="Smelter not listed",C2454="Smelter not yet identified"),MATCH($B2454&amp;$D2454,'Smelter Look-up'!$J:$J,0),MATCH($B2454&amp;$C2454,'Smelter Look-up'!$J:$J,0)))</f>
        <v>#N/A</v>
      </c>
      <c r="X2454" s="219">
        <f t="shared" ca="1" si="346"/>
        <v>0</v>
      </c>
      <c r="AB2454" s="220" t="str">
        <f t="shared" si="347"/>
        <v/>
      </c>
    </row>
    <row r="2455" spans="1:28" s="219" customFormat="1" ht="20.25">
      <c r="A2455" s="174"/>
      <c r="B2455" s="175" t="str">
        <f>IF(LEN(A2455)=0,"",INDEX('Smelter Look-up'!$A:$A,MATCH($A2455,'Smelter Look-up'!$E:$E,0)))</f>
        <v/>
      </c>
      <c r="C2455" s="179" t="str">
        <f>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345"/>
        <v/>
      </c>
      <c r="T2455" s="174" t="str">
        <f ca="1">IF(B2455="","",IF(ISERROR(MATCH($J2455,SorP!$B$1:$B$6279,0)),"",INDIRECT("'SorP'!$A$"&amp;MATCH($S2455&amp;$J2455,SorP!C:C,0))))</f>
        <v/>
      </c>
      <c r="U2455" s="194"/>
      <c r="V2455" s="218" t="e">
        <f>IF(C2455="",NA(),IF(OR(C2455="Smelter not listed",C2455="Smelter not yet identified"),MATCH($B2455&amp;$D2455,'Smelter Look-up'!$J:$J,0),MATCH($B2455&amp;$C2455,'Smelter Look-up'!$J:$J,0)))</f>
        <v>#N/A</v>
      </c>
      <c r="X2455" s="219">
        <f t="shared" ca="1" si="346"/>
        <v>0</v>
      </c>
      <c r="AB2455" s="220" t="str">
        <f t="shared" si="347"/>
        <v/>
      </c>
    </row>
    <row r="2456" spans="1:28" s="219" customFormat="1" ht="20.25">
      <c r="A2456" s="174"/>
      <c r="B2456" s="175" t="str">
        <f>IF(LEN(A2456)=0,"",INDEX('Smelter Look-up'!$A:$A,MATCH($A2456,'Smelter Look-up'!$E:$E,0)))</f>
        <v/>
      </c>
      <c r="C2456" s="179" t="str">
        <f>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345"/>
        <v/>
      </c>
      <c r="T2456" s="174" t="str">
        <f ca="1">IF(B2456="","",IF(ISERROR(MATCH($J2456,SorP!$B$1:$B$6279,0)),"",INDIRECT("'SorP'!$A$"&amp;MATCH($S2456&amp;$J2456,SorP!C:C,0))))</f>
        <v/>
      </c>
      <c r="U2456" s="194"/>
      <c r="V2456" s="218" t="e">
        <f>IF(C2456="",NA(),IF(OR(C2456="Smelter not listed",C2456="Smelter not yet identified"),MATCH($B2456&amp;$D2456,'Smelter Look-up'!$J:$J,0),MATCH($B2456&amp;$C2456,'Smelter Look-up'!$J:$J,0)))</f>
        <v>#N/A</v>
      </c>
      <c r="X2456" s="219">
        <f t="shared" ca="1" si="346"/>
        <v>0</v>
      </c>
      <c r="AB2456" s="220" t="str">
        <f t="shared" si="347"/>
        <v/>
      </c>
    </row>
    <row r="2457" spans="1:28" s="219" customFormat="1" ht="20.25">
      <c r="A2457" s="174"/>
      <c r="B2457" s="175" t="str">
        <f>IF(LEN(A2457)=0,"",INDEX('Smelter Look-up'!$A:$A,MATCH($A2457,'Smelter Look-up'!$E:$E,0)))</f>
        <v/>
      </c>
      <c r="C2457" s="179" t="str">
        <f>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345"/>
        <v/>
      </c>
      <c r="T2457" s="174" t="str">
        <f ca="1">IF(B2457="","",IF(ISERROR(MATCH($J2457,SorP!$B$1:$B$6279,0)),"",INDIRECT("'SorP'!$A$"&amp;MATCH($S2457&amp;$J2457,SorP!C:C,0))))</f>
        <v/>
      </c>
      <c r="U2457" s="194"/>
      <c r="V2457" s="218" t="e">
        <f>IF(C2457="",NA(),IF(OR(C2457="Smelter not listed",C2457="Smelter not yet identified"),MATCH($B2457&amp;$D2457,'Smelter Look-up'!$J:$J,0),MATCH($B2457&amp;$C2457,'Smelter Look-up'!$J:$J,0)))</f>
        <v>#N/A</v>
      </c>
      <c r="X2457" s="219">
        <f t="shared" ca="1" si="346"/>
        <v>0</v>
      </c>
      <c r="AB2457" s="220" t="str">
        <f t="shared" si="347"/>
        <v/>
      </c>
    </row>
    <row r="2458" spans="1:28" s="219" customFormat="1" ht="20.25">
      <c r="A2458" s="174"/>
      <c r="B2458" s="175" t="str">
        <f>IF(LEN(A2458)=0,"",INDEX('Smelter Look-up'!$A:$A,MATCH($A2458,'Smelter Look-up'!$E:$E,0)))</f>
        <v/>
      </c>
      <c r="C2458" s="179" t="str">
        <f>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ca="1" si="345"/>
        <v/>
      </c>
      <c r="T2458" s="174" t="str">
        <f ca="1">IF(B2458="","",IF(ISERROR(MATCH($J2458,SorP!$B$1:$B$6279,0)),"",INDIRECT("'SorP'!$A$"&amp;MATCH($S2458&amp;$J2458,SorP!C:C,0))))</f>
        <v/>
      </c>
      <c r="U2458" s="194"/>
      <c r="V2458" s="218" t="e">
        <f>IF(C2458="",NA(),IF(OR(C2458="Smelter not listed",C2458="Smelter not yet identified"),MATCH($B2458&amp;$D2458,'Smelter Look-up'!$J:$J,0),MATCH($B2458&amp;$C2458,'Smelter Look-up'!$J:$J,0)))</f>
        <v>#N/A</v>
      </c>
      <c r="X2458" s="219">
        <f t="shared" ca="1" si="346"/>
        <v>0</v>
      </c>
      <c r="AB2458" s="220" t="str">
        <f t="shared" si="347"/>
        <v/>
      </c>
    </row>
    <row r="2459" spans="1:28" s="219" customFormat="1" ht="20.25">
      <c r="A2459" s="174"/>
      <c r="B2459" s="175" t="str">
        <f>IF(LEN(A2459)=0,"",INDEX('Smelter Look-up'!$A:$A,MATCH($A2459,'Smelter Look-up'!$E:$E,0)))</f>
        <v/>
      </c>
      <c r="C2459" s="179" t="str">
        <f>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ca="1" si="345"/>
        <v/>
      </c>
      <c r="T2459" s="174" t="str">
        <f ca="1">IF(B2459="","",IF(ISERROR(MATCH($J2459,SorP!$B$1:$B$6279,0)),"",INDIRECT("'SorP'!$A$"&amp;MATCH($S2459&amp;$J2459,SorP!C:C,0))))</f>
        <v/>
      </c>
      <c r="U2459" s="194"/>
      <c r="V2459" s="218" t="e">
        <f>IF(C2459="",NA(),IF(OR(C2459="Smelter not listed",C2459="Smelter not yet identified"),MATCH($B2459&amp;$D2459,'Smelter Look-up'!$J:$J,0),MATCH($B2459&amp;$C2459,'Smelter Look-up'!$J:$J,0)))</f>
        <v>#N/A</v>
      </c>
      <c r="X2459" s="219">
        <f t="shared" ca="1" si="346"/>
        <v>0</v>
      </c>
      <c r="AB2459" s="220" t="str">
        <f t="shared" si="347"/>
        <v/>
      </c>
    </row>
    <row r="2460" spans="1:28" s="219" customFormat="1" ht="20.25">
      <c r="A2460" s="174"/>
      <c r="B2460" s="175" t="str">
        <f>IF(LEN(A2460)=0,"",INDEX('Smelter Look-up'!$A:$A,MATCH($A2460,'Smelter Look-up'!$E:$E,0)))</f>
        <v/>
      </c>
      <c r="C2460" s="179" t="str">
        <f>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ref="S2460:S2490" ca="1" si="348">IF(B2460="","",IF(ISERROR(MATCH($E2460,CL,0)),"Unknown",INDIRECT("'C'!$A$"&amp;MATCH($E2460,CL,0)+1)))</f>
        <v/>
      </c>
      <c r="T2460" s="174" t="str">
        <f ca="1">IF(B2460="","",IF(ISERROR(MATCH($J2460,SorP!$B$1:$B$6279,0)),"",INDIRECT("'SorP'!$A$"&amp;MATCH($S2460&amp;$J2460,SorP!C:C,0))))</f>
        <v/>
      </c>
      <c r="U2460" s="194"/>
      <c r="V2460" s="218" t="e">
        <f>IF(C2460="",NA(),IF(OR(C2460="Smelter not listed",C2460="Smelter not yet identified"),MATCH($B2460&amp;$D2460,'Smelter Look-up'!$J:$J,0),MATCH($B2460&amp;$C2460,'Smelter Look-up'!$J:$J,0)))</f>
        <v>#N/A</v>
      </c>
      <c r="X2460" s="219">
        <f t="shared" ref="X2460:X2492" ca="1" si="349">IF(AND(C2460="Smelter not listed",OR(LEN(D2460)=0,LEN(E2460)=0)),1,0)</f>
        <v>0</v>
      </c>
      <c r="AB2460" s="220" t="str">
        <f t="shared" ref="AB2460:AB2490" si="350">B2460&amp;C2460</f>
        <v/>
      </c>
    </row>
    <row r="2461" spans="1:28" s="219" customFormat="1" ht="20.25">
      <c r="A2461" s="174"/>
      <c r="B2461" s="175" t="str">
        <f>IF(LEN(A2461)=0,"",INDEX('Smelter Look-up'!$A:$A,MATCH($A2461,'Smelter Look-up'!$E:$E,0)))</f>
        <v/>
      </c>
      <c r="C2461" s="179" t="str">
        <f>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348"/>
        <v/>
      </c>
      <c r="T2461" s="174" t="str">
        <f ca="1">IF(B2461="","",IF(ISERROR(MATCH($J2461,SorP!$B$1:$B$6279,0)),"",INDIRECT("'SorP'!$A$"&amp;MATCH($S2461&amp;$J2461,SorP!C:C,0))))</f>
        <v/>
      </c>
      <c r="U2461" s="194"/>
      <c r="V2461" s="218" t="e">
        <f>IF(C2461="",NA(),IF(OR(C2461="Smelter not listed",C2461="Smelter not yet identified"),MATCH($B2461&amp;$D2461,'Smelter Look-up'!$J:$J,0),MATCH($B2461&amp;$C2461,'Smelter Look-up'!$J:$J,0)))</f>
        <v>#N/A</v>
      </c>
      <c r="X2461" s="219">
        <f t="shared" ca="1" si="349"/>
        <v>0</v>
      </c>
      <c r="AB2461" s="220" t="str">
        <f t="shared" si="350"/>
        <v/>
      </c>
    </row>
    <row r="2462" spans="1:28" s="219" customFormat="1" ht="20.25">
      <c r="A2462" s="174"/>
      <c r="B2462" s="175" t="str">
        <f>IF(LEN(A2462)=0,"",INDEX('Smelter Look-up'!$A:$A,MATCH($A2462,'Smelter Look-up'!$E:$E,0)))</f>
        <v/>
      </c>
      <c r="C2462" s="179" t="str">
        <f>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348"/>
        <v/>
      </c>
      <c r="T2462" s="174" t="str">
        <f ca="1">IF(B2462="","",IF(ISERROR(MATCH($J2462,SorP!$B$1:$B$6279,0)),"",INDIRECT("'SorP'!$A$"&amp;MATCH($S2462&amp;$J2462,SorP!C:C,0))))</f>
        <v/>
      </c>
      <c r="U2462" s="194"/>
      <c r="V2462" s="218" t="e">
        <f>IF(C2462="",NA(),IF(OR(C2462="Smelter not listed",C2462="Smelter not yet identified"),MATCH($B2462&amp;$D2462,'Smelter Look-up'!$J:$J,0),MATCH($B2462&amp;$C2462,'Smelter Look-up'!$J:$J,0)))</f>
        <v>#N/A</v>
      </c>
      <c r="X2462" s="219">
        <f t="shared" ca="1" si="349"/>
        <v>0</v>
      </c>
      <c r="AB2462" s="220" t="str">
        <f t="shared" si="350"/>
        <v/>
      </c>
    </row>
    <row r="2463" spans="1:28" s="219" customFormat="1" ht="20.25">
      <c r="A2463" s="174"/>
      <c r="B2463" s="175" t="str">
        <f>IF(LEN(A2463)=0,"",INDEX('Smelter Look-up'!$A:$A,MATCH($A2463,'Smelter Look-up'!$E:$E,0)))</f>
        <v/>
      </c>
      <c r="C2463" s="179" t="str">
        <f>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348"/>
        <v/>
      </c>
      <c r="T2463" s="174" t="str">
        <f ca="1">IF(B2463="","",IF(ISERROR(MATCH($J2463,SorP!$B$1:$B$6279,0)),"",INDIRECT("'SorP'!$A$"&amp;MATCH($S2463&amp;$J2463,SorP!C:C,0))))</f>
        <v/>
      </c>
      <c r="U2463" s="194"/>
      <c r="V2463" s="218" t="e">
        <f>IF(C2463="",NA(),IF(OR(C2463="Smelter not listed",C2463="Smelter not yet identified"),MATCH($B2463&amp;$D2463,'Smelter Look-up'!$J:$J,0),MATCH($B2463&amp;$C2463,'Smelter Look-up'!$J:$J,0)))</f>
        <v>#N/A</v>
      </c>
      <c r="X2463" s="219">
        <f t="shared" ca="1" si="349"/>
        <v>0</v>
      </c>
      <c r="AB2463" s="220" t="str">
        <f t="shared" si="350"/>
        <v/>
      </c>
    </row>
    <row r="2464" spans="1:28" s="219" customFormat="1" ht="20.25">
      <c r="A2464" s="174"/>
      <c r="B2464" s="175" t="str">
        <f>IF(LEN(A2464)=0,"",INDEX('Smelter Look-up'!$A:$A,MATCH($A2464,'Smelter Look-up'!$E:$E,0)))</f>
        <v/>
      </c>
      <c r="C2464" s="179" t="str">
        <f>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348"/>
        <v/>
      </c>
      <c r="T2464" s="174" t="str">
        <f ca="1">IF(B2464="","",IF(ISERROR(MATCH($J2464,SorP!$B$1:$B$6279,0)),"",INDIRECT("'SorP'!$A$"&amp;MATCH($S2464&amp;$J2464,SorP!C:C,0))))</f>
        <v/>
      </c>
      <c r="U2464" s="194"/>
      <c r="V2464" s="218" t="e">
        <f>IF(C2464="",NA(),IF(OR(C2464="Smelter not listed",C2464="Smelter not yet identified"),MATCH($B2464&amp;$D2464,'Smelter Look-up'!$J:$J,0),MATCH($B2464&amp;$C2464,'Smelter Look-up'!$J:$J,0)))</f>
        <v>#N/A</v>
      </c>
      <c r="X2464" s="219">
        <f t="shared" ca="1" si="349"/>
        <v>0</v>
      </c>
      <c r="AB2464" s="220" t="str">
        <f t="shared" si="350"/>
        <v/>
      </c>
    </row>
    <row r="2465" spans="1:28" s="219" customFormat="1" ht="20.25">
      <c r="A2465" s="174"/>
      <c r="B2465" s="175" t="str">
        <f>IF(LEN(A2465)=0,"",INDEX('Smelter Look-up'!$A:$A,MATCH($A2465,'Smelter Look-up'!$E:$E,0)))</f>
        <v/>
      </c>
      <c r="C2465" s="179" t="str">
        <f>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348"/>
        <v/>
      </c>
      <c r="T2465" s="174" t="str">
        <f ca="1">IF(B2465="","",IF(ISERROR(MATCH($J2465,SorP!$B$1:$B$6279,0)),"",INDIRECT("'SorP'!$A$"&amp;MATCH($S2465&amp;$J2465,SorP!C:C,0))))</f>
        <v/>
      </c>
      <c r="U2465" s="194"/>
      <c r="V2465" s="218" t="e">
        <f>IF(C2465="",NA(),IF(OR(C2465="Smelter not listed",C2465="Smelter not yet identified"),MATCH($B2465&amp;$D2465,'Smelter Look-up'!$J:$J,0),MATCH($B2465&amp;$C2465,'Smelter Look-up'!$J:$J,0)))</f>
        <v>#N/A</v>
      </c>
      <c r="X2465" s="219">
        <f t="shared" ca="1" si="349"/>
        <v>0</v>
      </c>
      <c r="AB2465" s="220" t="str">
        <f t="shared" si="350"/>
        <v/>
      </c>
    </row>
    <row r="2466" spans="1:28" s="219" customFormat="1" ht="20.25">
      <c r="A2466" s="174"/>
      <c r="B2466" s="175" t="str">
        <f>IF(LEN(A2466)=0,"",INDEX('Smelter Look-up'!$A:$A,MATCH($A2466,'Smelter Look-up'!$E:$E,0)))</f>
        <v/>
      </c>
      <c r="C2466" s="179" t="str">
        <f>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348"/>
        <v/>
      </c>
      <c r="T2466" s="174" t="str">
        <f ca="1">IF(B2466="","",IF(ISERROR(MATCH($J2466,SorP!$B$1:$B$6279,0)),"",INDIRECT("'SorP'!$A$"&amp;MATCH($S2466&amp;$J2466,SorP!C:C,0))))</f>
        <v/>
      </c>
      <c r="U2466" s="194"/>
      <c r="V2466" s="218" t="e">
        <f>IF(C2466="",NA(),IF(OR(C2466="Smelter not listed",C2466="Smelter not yet identified"),MATCH($B2466&amp;$D2466,'Smelter Look-up'!$J:$J,0),MATCH($B2466&amp;$C2466,'Smelter Look-up'!$J:$J,0)))</f>
        <v>#N/A</v>
      </c>
      <c r="X2466" s="219">
        <f t="shared" ca="1" si="349"/>
        <v>0</v>
      </c>
      <c r="AB2466" s="220" t="str">
        <f t="shared" si="350"/>
        <v/>
      </c>
    </row>
    <row r="2467" spans="1:28" s="219" customFormat="1" ht="20.25">
      <c r="A2467" s="174"/>
      <c r="B2467" s="175" t="str">
        <f>IF(LEN(A2467)=0,"",INDEX('Smelter Look-up'!$A:$A,MATCH($A2467,'Smelter Look-up'!$E:$E,0)))</f>
        <v/>
      </c>
      <c r="C2467" s="179" t="str">
        <f>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348"/>
        <v/>
      </c>
      <c r="T2467" s="174" t="str">
        <f ca="1">IF(B2467="","",IF(ISERROR(MATCH($J2467,SorP!$B$1:$B$6279,0)),"",INDIRECT("'SorP'!$A$"&amp;MATCH($S2467&amp;$J2467,SorP!C:C,0))))</f>
        <v/>
      </c>
      <c r="U2467" s="194"/>
      <c r="V2467" s="218" t="e">
        <f>IF(C2467="",NA(),IF(OR(C2467="Smelter not listed",C2467="Smelter not yet identified"),MATCH($B2467&amp;$D2467,'Smelter Look-up'!$J:$J,0),MATCH($B2467&amp;$C2467,'Smelter Look-up'!$J:$J,0)))</f>
        <v>#N/A</v>
      </c>
      <c r="X2467" s="219">
        <f t="shared" ca="1" si="349"/>
        <v>0</v>
      </c>
      <c r="AB2467" s="220" t="str">
        <f t="shared" si="350"/>
        <v/>
      </c>
    </row>
    <row r="2468" spans="1:28" s="219" customFormat="1" ht="20.25">
      <c r="A2468" s="174"/>
      <c r="B2468" s="175" t="str">
        <f>IF(LEN(A2468)=0,"",INDEX('Smelter Look-up'!$A:$A,MATCH($A2468,'Smelter Look-up'!$E:$E,0)))</f>
        <v/>
      </c>
      <c r="C2468" s="179" t="str">
        <f>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348"/>
        <v/>
      </c>
      <c r="T2468" s="174" t="str">
        <f ca="1">IF(B2468="","",IF(ISERROR(MATCH($J2468,SorP!$B$1:$B$6279,0)),"",INDIRECT("'SorP'!$A$"&amp;MATCH($S2468&amp;$J2468,SorP!C:C,0))))</f>
        <v/>
      </c>
      <c r="U2468" s="194"/>
      <c r="V2468" s="218" t="e">
        <f>IF(C2468="",NA(),IF(OR(C2468="Smelter not listed",C2468="Smelter not yet identified"),MATCH($B2468&amp;$D2468,'Smelter Look-up'!$J:$J,0),MATCH($B2468&amp;$C2468,'Smelter Look-up'!$J:$J,0)))</f>
        <v>#N/A</v>
      </c>
      <c r="X2468" s="219">
        <f t="shared" ca="1" si="349"/>
        <v>0</v>
      </c>
      <c r="AB2468" s="220" t="str">
        <f t="shared" si="350"/>
        <v/>
      </c>
    </row>
    <row r="2469" spans="1:28" s="219" customFormat="1" ht="20.25">
      <c r="A2469" s="174"/>
      <c r="B2469" s="175" t="str">
        <f>IF(LEN(A2469)=0,"",INDEX('Smelter Look-up'!$A:$A,MATCH($A2469,'Smelter Look-up'!$E:$E,0)))</f>
        <v/>
      </c>
      <c r="C2469" s="179" t="str">
        <f>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348"/>
        <v/>
      </c>
      <c r="T2469" s="174" t="str">
        <f ca="1">IF(B2469="","",IF(ISERROR(MATCH($J2469,SorP!$B$1:$B$6279,0)),"",INDIRECT("'SorP'!$A$"&amp;MATCH($S2469&amp;$J2469,SorP!C:C,0))))</f>
        <v/>
      </c>
      <c r="U2469" s="194"/>
      <c r="V2469" s="218" t="e">
        <f>IF(C2469="",NA(),IF(OR(C2469="Smelter not listed",C2469="Smelter not yet identified"),MATCH($B2469&amp;$D2469,'Smelter Look-up'!$J:$J,0),MATCH($B2469&amp;$C2469,'Smelter Look-up'!$J:$J,0)))</f>
        <v>#N/A</v>
      </c>
      <c r="X2469" s="219">
        <f t="shared" ca="1" si="349"/>
        <v>0</v>
      </c>
      <c r="AB2469" s="220" t="str">
        <f t="shared" si="350"/>
        <v/>
      </c>
    </row>
    <row r="2470" spans="1:28" s="219" customFormat="1" ht="20.25">
      <c r="A2470" s="174"/>
      <c r="B2470" s="175" t="str">
        <f>IF(LEN(A2470)=0,"",INDEX('Smelter Look-up'!$A:$A,MATCH($A2470,'Smelter Look-up'!$E:$E,0)))</f>
        <v/>
      </c>
      <c r="C2470" s="179" t="str">
        <f>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348"/>
        <v/>
      </c>
      <c r="T2470" s="174" t="str">
        <f ca="1">IF(B2470="","",IF(ISERROR(MATCH($J2470,SorP!$B$1:$B$6279,0)),"",INDIRECT("'SorP'!$A$"&amp;MATCH($S2470&amp;$J2470,SorP!C:C,0))))</f>
        <v/>
      </c>
      <c r="U2470" s="194"/>
      <c r="V2470" s="218" t="e">
        <f>IF(C2470="",NA(),IF(OR(C2470="Smelter not listed",C2470="Smelter not yet identified"),MATCH($B2470&amp;$D2470,'Smelter Look-up'!$J:$J,0),MATCH($B2470&amp;$C2470,'Smelter Look-up'!$J:$J,0)))</f>
        <v>#N/A</v>
      </c>
      <c r="X2470" s="219">
        <f t="shared" ca="1" si="349"/>
        <v>0</v>
      </c>
      <c r="AB2470" s="220" t="str">
        <f t="shared" si="350"/>
        <v/>
      </c>
    </row>
    <row r="2471" spans="1:28" s="219" customFormat="1" ht="20.25">
      <c r="A2471" s="174"/>
      <c r="B2471" s="175" t="str">
        <f>IF(LEN(A2471)=0,"",INDEX('Smelter Look-up'!$A:$A,MATCH($A2471,'Smelter Look-up'!$E:$E,0)))</f>
        <v/>
      </c>
      <c r="C2471" s="179" t="str">
        <f>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348"/>
        <v/>
      </c>
      <c r="T2471" s="174" t="str">
        <f ca="1">IF(B2471="","",IF(ISERROR(MATCH($J2471,SorP!$B$1:$B$6279,0)),"",INDIRECT("'SorP'!$A$"&amp;MATCH($S2471&amp;$J2471,SorP!C:C,0))))</f>
        <v/>
      </c>
      <c r="U2471" s="194"/>
      <c r="V2471" s="218" t="e">
        <f>IF(C2471="",NA(),IF(OR(C2471="Smelter not listed",C2471="Smelter not yet identified"),MATCH($B2471&amp;$D2471,'Smelter Look-up'!$J:$J,0),MATCH($B2471&amp;$C2471,'Smelter Look-up'!$J:$J,0)))</f>
        <v>#N/A</v>
      </c>
      <c r="X2471" s="219">
        <f t="shared" ca="1" si="349"/>
        <v>0</v>
      </c>
      <c r="AB2471" s="220" t="str">
        <f t="shared" si="350"/>
        <v/>
      </c>
    </row>
    <row r="2472" spans="1:28" s="219" customFormat="1" ht="20.25">
      <c r="A2472" s="174"/>
      <c r="B2472" s="175" t="str">
        <f>IF(LEN(A2472)=0,"",INDEX('Smelter Look-up'!$A:$A,MATCH($A2472,'Smelter Look-up'!$E:$E,0)))</f>
        <v/>
      </c>
      <c r="C2472" s="179" t="str">
        <f>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348"/>
        <v/>
      </c>
      <c r="T2472" s="174" t="str">
        <f ca="1">IF(B2472="","",IF(ISERROR(MATCH($J2472,SorP!$B$1:$B$6279,0)),"",INDIRECT("'SorP'!$A$"&amp;MATCH($S2472&amp;$J2472,SorP!C:C,0))))</f>
        <v/>
      </c>
      <c r="U2472" s="194"/>
      <c r="V2472" s="218" t="e">
        <f>IF(C2472="",NA(),IF(OR(C2472="Smelter not listed",C2472="Smelter not yet identified"),MATCH($B2472&amp;$D2472,'Smelter Look-up'!$J:$J,0),MATCH($B2472&amp;$C2472,'Smelter Look-up'!$J:$J,0)))</f>
        <v>#N/A</v>
      </c>
      <c r="X2472" s="219">
        <f t="shared" ca="1" si="349"/>
        <v>0</v>
      </c>
      <c r="AB2472" s="220" t="str">
        <f t="shared" si="350"/>
        <v/>
      </c>
    </row>
    <row r="2473" spans="1:28" s="219" customFormat="1" ht="20.25">
      <c r="A2473" s="174"/>
      <c r="B2473" s="175" t="str">
        <f>IF(LEN(A2473)=0,"",INDEX('Smelter Look-up'!$A:$A,MATCH($A2473,'Smelter Look-up'!$E:$E,0)))</f>
        <v/>
      </c>
      <c r="C2473" s="179" t="str">
        <f>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348"/>
        <v/>
      </c>
      <c r="T2473" s="174" t="str">
        <f ca="1">IF(B2473="","",IF(ISERROR(MATCH($J2473,SorP!$B$1:$B$6279,0)),"",INDIRECT("'SorP'!$A$"&amp;MATCH($S2473&amp;$J2473,SorP!C:C,0))))</f>
        <v/>
      </c>
      <c r="U2473" s="194"/>
      <c r="V2473" s="218" t="e">
        <f>IF(C2473="",NA(),IF(OR(C2473="Smelter not listed",C2473="Smelter not yet identified"),MATCH($B2473&amp;$D2473,'Smelter Look-up'!$J:$J,0),MATCH($B2473&amp;$C2473,'Smelter Look-up'!$J:$J,0)))</f>
        <v>#N/A</v>
      </c>
      <c r="X2473" s="219">
        <f t="shared" ca="1" si="349"/>
        <v>0</v>
      </c>
      <c r="AB2473" s="220" t="str">
        <f t="shared" si="350"/>
        <v/>
      </c>
    </row>
    <row r="2474" spans="1:28" s="219" customFormat="1" ht="20.25">
      <c r="A2474" s="174"/>
      <c r="B2474" s="175" t="str">
        <f>IF(LEN(A2474)=0,"",INDEX('Smelter Look-up'!$A:$A,MATCH($A2474,'Smelter Look-up'!$E:$E,0)))</f>
        <v/>
      </c>
      <c r="C2474" s="179" t="str">
        <f>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348"/>
        <v/>
      </c>
      <c r="T2474" s="174" t="str">
        <f ca="1">IF(B2474="","",IF(ISERROR(MATCH($J2474,SorP!$B$1:$B$6279,0)),"",INDIRECT("'SorP'!$A$"&amp;MATCH($S2474&amp;$J2474,SorP!C:C,0))))</f>
        <v/>
      </c>
      <c r="U2474" s="194"/>
      <c r="V2474" s="218" t="e">
        <f>IF(C2474="",NA(),IF(OR(C2474="Smelter not listed",C2474="Smelter not yet identified"),MATCH($B2474&amp;$D2474,'Smelter Look-up'!$J:$J,0),MATCH($B2474&amp;$C2474,'Smelter Look-up'!$J:$J,0)))</f>
        <v>#N/A</v>
      </c>
      <c r="X2474" s="219">
        <f t="shared" ca="1" si="349"/>
        <v>0</v>
      </c>
      <c r="AB2474" s="220" t="str">
        <f t="shared" si="350"/>
        <v/>
      </c>
    </row>
    <row r="2475" spans="1:28" s="219" customFormat="1" ht="20.25">
      <c r="A2475" s="174"/>
      <c r="B2475" s="175" t="str">
        <f>IF(LEN(A2475)=0,"",INDEX('Smelter Look-up'!$A:$A,MATCH($A2475,'Smelter Look-up'!$E:$E,0)))</f>
        <v/>
      </c>
      <c r="C2475" s="179" t="str">
        <f>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348"/>
        <v/>
      </c>
      <c r="T2475" s="174" t="str">
        <f ca="1">IF(B2475="","",IF(ISERROR(MATCH($J2475,SorP!$B$1:$B$6279,0)),"",INDIRECT("'SorP'!$A$"&amp;MATCH($S2475&amp;$J2475,SorP!C:C,0))))</f>
        <v/>
      </c>
      <c r="U2475" s="194"/>
      <c r="V2475" s="218" t="e">
        <f>IF(C2475="",NA(),IF(OR(C2475="Smelter not listed",C2475="Smelter not yet identified"),MATCH($B2475&amp;$D2475,'Smelter Look-up'!$J:$J,0),MATCH($B2475&amp;$C2475,'Smelter Look-up'!$J:$J,0)))</f>
        <v>#N/A</v>
      </c>
      <c r="X2475" s="219">
        <f t="shared" ca="1" si="349"/>
        <v>0</v>
      </c>
      <c r="AB2475" s="220" t="str">
        <f t="shared" si="350"/>
        <v/>
      </c>
    </row>
    <row r="2476" spans="1:28" s="219" customFormat="1" ht="20.25">
      <c r="A2476" s="174"/>
      <c r="B2476" s="175" t="str">
        <f>IF(LEN(A2476)=0,"",INDEX('Smelter Look-up'!$A:$A,MATCH($A2476,'Smelter Look-up'!$E:$E,0)))</f>
        <v/>
      </c>
      <c r="C2476" s="179" t="str">
        <f>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348"/>
        <v/>
      </c>
      <c r="T2476" s="174" t="str">
        <f ca="1">IF(B2476="","",IF(ISERROR(MATCH($J2476,SorP!$B$1:$B$6279,0)),"",INDIRECT("'SorP'!$A$"&amp;MATCH($S2476&amp;$J2476,SorP!C:C,0))))</f>
        <v/>
      </c>
      <c r="U2476" s="194"/>
      <c r="V2476" s="218" t="e">
        <f>IF(C2476="",NA(),IF(OR(C2476="Smelter not listed",C2476="Smelter not yet identified"),MATCH($B2476&amp;$D2476,'Smelter Look-up'!$J:$J,0),MATCH($B2476&amp;$C2476,'Smelter Look-up'!$J:$J,0)))</f>
        <v>#N/A</v>
      </c>
      <c r="X2476" s="219">
        <f t="shared" ca="1" si="349"/>
        <v>0</v>
      </c>
      <c r="AB2476" s="220" t="str">
        <f t="shared" si="350"/>
        <v/>
      </c>
    </row>
    <row r="2477" spans="1:28" s="219" customFormat="1" ht="20.25">
      <c r="A2477" s="174"/>
      <c r="B2477" s="175" t="str">
        <f>IF(LEN(A2477)=0,"",INDEX('Smelter Look-up'!$A:$A,MATCH($A2477,'Smelter Look-up'!$E:$E,0)))</f>
        <v/>
      </c>
      <c r="C2477" s="179" t="str">
        <f>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348"/>
        <v/>
      </c>
      <c r="T2477" s="174" t="str">
        <f ca="1">IF(B2477="","",IF(ISERROR(MATCH($J2477,SorP!$B$1:$B$6279,0)),"",INDIRECT("'SorP'!$A$"&amp;MATCH($S2477&amp;$J2477,SorP!C:C,0))))</f>
        <v/>
      </c>
      <c r="U2477" s="194"/>
      <c r="V2477" s="218" t="e">
        <f>IF(C2477="",NA(),IF(OR(C2477="Smelter not listed",C2477="Smelter not yet identified"),MATCH($B2477&amp;$D2477,'Smelter Look-up'!$J:$J,0),MATCH($B2477&amp;$C2477,'Smelter Look-up'!$J:$J,0)))</f>
        <v>#N/A</v>
      </c>
      <c r="X2477" s="219">
        <f t="shared" ca="1" si="349"/>
        <v>0</v>
      </c>
      <c r="AB2477" s="220" t="str">
        <f t="shared" si="350"/>
        <v/>
      </c>
    </row>
    <row r="2478" spans="1:28" s="219" customFormat="1" ht="20.25">
      <c r="A2478" s="174"/>
      <c r="B2478" s="175" t="str">
        <f>IF(LEN(A2478)=0,"",INDEX('Smelter Look-up'!$A:$A,MATCH($A2478,'Smelter Look-up'!$E:$E,0)))</f>
        <v/>
      </c>
      <c r="C2478" s="179" t="str">
        <f>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348"/>
        <v/>
      </c>
      <c r="T2478" s="174" t="str">
        <f ca="1">IF(B2478="","",IF(ISERROR(MATCH($J2478,SorP!$B$1:$B$6279,0)),"",INDIRECT("'SorP'!$A$"&amp;MATCH($S2478&amp;$J2478,SorP!C:C,0))))</f>
        <v/>
      </c>
      <c r="U2478" s="194"/>
      <c r="V2478" s="218" t="e">
        <f>IF(C2478="",NA(),IF(OR(C2478="Smelter not listed",C2478="Smelter not yet identified"),MATCH($B2478&amp;$D2478,'Smelter Look-up'!$J:$J,0),MATCH($B2478&amp;$C2478,'Smelter Look-up'!$J:$J,0)))</f>
        <v>#N/A</v>
      </c>
      <c r="X2478" s="219">
        <f t="shared" ca="1" si="349"/>
        <v>0</v>
      </c>
      <c r="AB2478" s="220" t="str">
        <f t="shared" si="350"/>
        <v/>
      </c>
    </row>
    <row r="2479" spans="1:28" s="219" customFormat="1" ht="20.25">
      <c r="A2479" s="174"/>
      <c r="B2479" s="175" t="str">
        <f>IF(LEN(A2479)=0,"",INDEX('Smelter Look-up'!$A:$A,MATCH($A2479,'Smelter Look-up'!$E:$E,0)))</f>
        <v/>
      </c>
      <c r="C2479" s="179" t="str">
        <f>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348"/>
        <v/>
      </c>
      <c r="T2479" s="174" t="str">
        <f ca="1">IF(B2479="","",IF(ISERROR(MATCH($J2479,SorP!$B$1:$B$6279,0)),"",INDIRECT("'SorP'!$A$"&amp;MATCH($S2479&amp;$J2479,SorP!C:C,0))))</f>
        <v/>
      </c>
      <c r="U2479" s="194"/>
      <c r="V2479" s="218" t="e">
        <f>IF(C2479="",NA(),IF(OR(C2479="Smelter not listed",C2479="Smelter not yet identified"),MATCH($B2479&amp;$D2479,'Smelter Look-up'!$J:$J,0),MATCH($B2479&amp;$C2479,'Smelter Look-up'!$J:$J,0)))</f>
        <v>#N/A</v>
      </c>
      <c r="X2479" s="219">
        <f t="shared" ca="1" si="349"/>
        <v>0</v>
      </c>
      <c r="AB2479" s="220" t="str">
        <f t="shared" si="350"/>
        <v/>
      </c>
    </row>
    <row r="2480" spans="1:28" s="219" customFormat="1" ht="20.25">
      <c r="A2480" s="174"/>
      <c r="B2480" s="175" t="str">
        <f>IF(LEN(A2480)=0,"",INDEX('Smelter Look-up'!$A:$A,MATCH($A2480,'Smelter Look-up'!$E:$E,0)))</f>
        <v/>
      </c>
      <c r="C2480" s="179" t="str">
        <f>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348"/>
        <v/>
      </c>
      <c r="T2480" s="174" t="str">
        <f ca="1">IF(B2480="","",IF(ISERROR(MATCH($J2480,SorP!$B$1:$B$6279,0)),"",INDIRECT("'SorP'!$A$"&amp;MATCH($S2480&amp;$J2480,SorP!C:C,0))))</f>
        <v/>
      </c>
      <c r="U2480" s="194"/>
      <c r="V2480" s="218" t="e">
        <f>IF(C2480="",NA(),IF(OR(C2480="Smelter not listed",C2480="Smelter not yet identified"),MATCH($B2480&amp;$D2480,'Smelter Look-up'!$J:$J,0),MATCH($B2480&amp;$C2480,'Smelter Look-up'!$J:$J,0)))</f>
        <v>#N/A</v>
      </c>
      <c r="X2480" s="219">
        <f t="shared" ca="1" si="349"/>
        <v>0</v>
      </c>
      <c r="AB2480" s="220" t="str">
        <f t="shared" si="350"/>
        <v/>
      </c>
    </row>
    <row r="2481" spans="1:28" s="219" customFormat="1" ht="20.25">
      <c r="A2481" s="174"/>
      <c r="B2481" s="175" t="str">
        <f>IF(LEN(A2481)=0,"",INDEX('Smelter Look-up'!$A:$A,MATCH($A2481,'Smelter Look-up'!$E:$E,0)))</f>
        <v/>
      </c>
      <c r="C2481" s="179" t="str">
        <f>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348"/>
        <v/>
      </c>
      <c r="T2481" s="174" t="str">
        <f ca="1">IF(B2481="","",IF(ISERROR(MATCH($J2481,SorP!$B$1:$B$6279,0)),"",INDIRECT("'SorP'!$A$"&amp;MATCH($S2481&amp;$J2481,SorP!C:C,0))))</f>
        <v/>
      </c>
      <c r="U2481" s="194"/>
      <c r="V2481" s="218" t="e">
        <f>IF(C2481="",NA(),IF(OR(C2481="Smelter not listed",C2481="Smelter not yet identified"),MATCH($B2481&amp;$D2481,'Smelter Look-up'!$J:$J,0),MATCH($B2481&amp;$C2481,'Smelter Look-up'!$J:$J,0)))</f>
        <v>#N/A</v>
      </c>
      <c r="X2481" s="219">
        <f t="shared" ca="1" si="349"/>
        <v>0</v>
      </c>
      <c r="AB2481" s="220" t="str">
        <f t="shared" si="350"/>
        <v/>
      </c>
    </row>
    <row r="2482" spans="1:28" s="219" customFormat="1" ht="20.25">
      <c r="A2482" s="174"/>
      <c r="B2482" s="175" t="str">
        <f>IF(LEN(A2482)=0,"",INDEX('Smelter Look-up'!$A:$A,MATCH($A2482,'Smelter Look-up'!$E:$E,0)))</f>
        <v/>
      </c>
      <c r="C2482" s="179" t="str">
        <f>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348"/>
        <v/>
      </c>
      <c r="T2482" s="174" t="str">
        <f ca="1">IF(B2482="","",IF(ISERROR(MATCH($J2482,SorP!$B$1:$B$6279,0)),"",INDIRECT("'SorP'!$A$"&amp;MATCH($S2482&amp;$J2482,SorP!C:C,0))))</f>
        <v/>
      </c>
      <c r="U2482" s="194"/>
      <c r="V2482" s="218" t="e">
        <f>IF(C2482="",NA(),IF(OR(C2482="Smelter not listed",C2482="Smelter not yet identified"),MATCH($B2482&amp;$D2482,'Smelter Look-up'!$J:$J,0),MATCH($B2482&amp;$C2482,'Smelter Look-up'!$J:$J,0)))</f>
        <v>#N/A</v>
      </c>
      <c r="X2482" s="219">
        <f t="shared" ca="1" si="349"/>
        <v>0</v>
      </c>
      <c r="AB2482" s="220" t="str">
        <f t="shared" si="350"/>
        <v/>
      </c>
    </row>
    <row r="2483" spans="1:28" s="219" customFormat="1" ht="20.25">
      <c r="A2483" s="174"/>
      <c r="B2483" s="175" t="str">
        <f>IF(LEN(A2483)=0,"",INDEX('Smelter Look-up'!$A:$A,MATCH($A2483,'Smelter Look-up'!$E:$E,0)))</f>
        <v/>
      </c>
      <c r="C2483" s="179" t="str">
        <f>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348"/>
        <v/>
      </c>
      <c r="T2483" s="174" t="str">
        <f ca="1">IF(B2483="","",IF(ISERROR(MATCH($J2483,SorP!$B$1:$B$6279,0)),"",INDIRECT("'SorP'!$A$"&amp;MATCH($S2483&amp;$J2483,SorP!C:C,0))))</f>
        <v/>
      </c>
      <c r="U2483" s="194"/>
      <c r="V2483" s="218" t="e">
        <f>IF(C2483="",NA(),IF(OR(C2483="Smelter not listed",C2483="Smelter not yet identified"),MATCH($B2483&amp;$D2483,'Smelter Look-up'!$J:$J,0),MATCH($B2483&amp;$C2483,'Smelter Look-up'!$J:$J,0)))</f>
        <v>#N/A</v>
      </c>
      <c r="X2483" s="219">
        <f t="shared" ca="1" si="349"/>
        <v>0</v>
      </c>
      <c r="AB2483" s="220" t="str">
        <f t="shared" si="350"/>
        <v/>
      </c>
    </row>
    <row r="2484" spans="1:28" s="219" customFormat="1" ht="20.25">
      <c r="A2484" s="174"/>
      <c r="B2484" s="175" t="str">
        <f>IF(LEN(A2484)=0,"",INDEX('Smelter Look-up'!$A:$A,MATCH($A2484,'Smelter Look-up'!$E:$E,0)))</f>
        <v/>
      </c>
      <c r="C2484" s="179" t="str">
        <f>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348"/>
        <v/>
      </c>
      <c r="T2484" s="174" t="str">
        <f ca="1">IF(B2484="","",IF(ISERROR(MATCH($J2484,SorP!$B$1:$B$6279,0)),"",INDIRECT("'SorP'!$A$"&amp;MATCH($S2484&amp;$J2484,SorP!C:C,0))))</f>
        <v/>
      </c>
      <c r="U2484" s="194"/>
      <c r="V2484" s="218" t="e">
        <f>IF(C2484="",NA(),IF(OR(C2484="Smelter not listed",C2484="Smelter not yet identified"),MATCH($B2484&amp;$D2484,'Smelter Look-up'!$J:$J,0),MATCH($B2484&amp;$C2484,'Smelter Look-up'!$J:$J,0)))</f>
        <v>#N/A</v>
      </c>
      <c r="X2484" s="219">
        <f t="shared" ca="1" si="349"/>
        <v>0</v>
      </c>
      <c r="AB2484" s="220" t="str">
        <f t="shared" si="350"/>
        <v/>
      </c>
    </row>
    <row r="2485" spans="1:28" s="219" customFormat="1" ht="20.25">
      <c r="A2485" s="174"/>
      <c r="B2485" s="175" t="str">
        <f>IF(LEN(A2485)=0,"",INDEX('Smelter Look-up'!$A:$A,MATCH($A2485,'Smelter Look-up'!$E:$E,0)))</f>
        <v/>
      </c>
      <c r="C2485" s="179" t="str">
        <f>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348"/>
        <v/>
      </c>
      <c r="T2485" s="174" t="str">
        <f ca="1">IF(B2485="","",IF(ISERROR(MATCH($J2485,SorP!$B$1:$B$6279,0)),"",INDIRECT("'SorP'!$A$"&amp;MATCH($S2485&amp;$J2485,SorP!C:C,0))))</f>
        <v/>
      </c>
      <c r="U2485" s="194"/>
      <c r="V2485" s="218" t="e">
        <f>IF(C2485="",NA(),IF(OR(C2485="Smelter not listed",C2485="Smelter not yet identified"),MATCH($B2485&amp;$D2485,'Smelter Look-up'!$J:$J,0),MATCH($B2485&amp;$C2485,'Smelter Look-up'!$J:$J,0)))</f>
        <v>#N/A</v>
      </c>
      <c r="X2485" s="219">
        <f t="shared" ca="1" si="349"/>
        <v>0</v>
      </c>
      <c r="AB2485" s="220" t="str">
        <f t="shared" si="350"/>
        <v/>
      </c>
    </row>
    <row r="2486" spans="1:28" s="219" customFormat="1" ht="20.25">
      <c r="A2486" s="174"/>
      <c r="B2486" s="175" t="str">
        <f>IF(LEN(A2486)=0,"",INDEX('Smelter Look-up'!$A:$A,MATCH($A2486,'Smelter Look-up'!$E:$E,0)))</f>
        <v/>
      </c>
      <c r="C2486" s="179" t="str">
        <f>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348"/>
        <v/>
      </c>
      <c r="T2486" s="174" t="str">
        <f ca="1">IF(B2486="","",IF(ISERROR(MATCH($J2486,SorP!$B$1:$B$6279,0)),"",INDIRECT("'SorP'!$A$"&amp;MATCH($S2486&amp;$J2486,SorP!C:C,0))))</f>
        <v/>
      </c>
      <c r="U2486" s="194"/>
      <c r="V2486" s="218" t="e">
        <f>IF(C2486="",NA(),IF(OR(C2486="Smelter not listed",C2486="Smelter not yet identified"),MATCH($B2486&amp;$D2486,'Smelter Look-up'!$J:$J,0),MATCH($B2486&amp;$C2486,'Smelter Look-up'!$J:$J,0)))</f>
        <v>#N/A</v>
      </c>
      <c r="X2486" s="219">
        <f t="shared" ca="1" si="349"/>
        <v>0</v>
      </c>
      <c r="AB2486" s="220" t="str">
        <f t="shared" si="350"/>
        <v/>
      </c>
    </row>
    <row r="2487" spans="1:28" s="219" customFormat="1" ht="20.25">
      <c r="A2487" s="174"/>
      <c r="B2487" s="175" t="str">
        <f>IF(LEN(A2487)=0,"",INDEX('Smelter Look-up'!$A:$A,MATCH($A2487,'Smelter Look-up'!$E:$E,0)))</f>
        <v/>
      </c>
      <c r="C2487" s="179" t="str">
        <f>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348"/>
        <v/>
      </c>
      <c r="T2487" s="174" t="str">
        <f ca="1">IF(B2487="","",IF(ISERROR(MATCH($J2487,SorP!$B$1:$B$6279,0)),"",INDIRECT("'SorP'!$A$"&amp;MATCH($S2487&amp;$J2487,SorP!C:C,0))))</f>
        <v/>
      </c>
      <c r="U2487" s="194"/>
      <c r="V2487" s="218" t="e">
        <f>IF(C2487="",NA(),IF(OR(C2487="Smelter not listed",C2487="Smelter not yet identified"),MATCH($B2487&amp;$D2487,'Smelter Look-up'!$J:$J,0),MATCH($B2487&amp;$C2487,'Smelter Look-up'!$J:$J,0)))</f>
        <v>#N/A</v>
      </c>
      <c r="X2487" s="219">
        <f t="shared" ca="1" si="349"/>
        <v>0</v>
      </c>
      <c r="AB2487" s="220" t="str">
        <f t="shared" si="350"/>
        <v/>
      </c>
    </row>
    <row r="2488" spans="1:28" s="219" customFormat="1" ht="20.25">
      <c r="A2488" s="174"/>
      <c r="B2488" s="175" t="str">
        <f>IF(LEN(A2488)=0,"",INDEX('Smelter Look-up'!$A:$A,MATCH($A2488,'Smelter Look-up'!$E:$E,0)))</f>
        <v/>
      </c>
      <c r="C2488" s="179" t="str">
        <f>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348"/>
        <v/>
      </c>
      <c r="T2488" s="174" t="str">
        <f ca="1">IF(B2488="","",IF(ISERROR(MATCH($J2488,SorP!$B$1:$B$6279,0)),"",INDIRECT("'SorP'!$A$"&amp;MATCH($S2488&amp;$J2488,SorP!C:C,0))))</f>
        <v/>
      </c>
      <c r="U2488" s="194"/>
      <c r="V2488" s="218" t="e">
        <f>IF(C2488="",NA(),IF(OR(C2488="Smelter not listed",C2488="Smelter not yet identified"),MATCH($B2488&amp;$D2488,'Smelter Look-up'!$J:$J,0),MATCH($B2488&amp;$C2488,'Smelter Look-up'!$J:$J,0)))</f>
        <v>#N/A</v>
      </c>
      <c r="X2488" s="219">
        <f t="shared" ca="1" si="349"/>
        <v>0</v>
      </c>
      <c r="AB2488" s="220" t="str">
        <f t="shared" si="350"/>
        <v/>
      </c>
    </row>
    <row r="2489" spans="1:28" s="219" customFormat="1" ht="20.25">
      <c r="A2489" s="174"/>
      <c r="B2489" s="175" t="str">
        <f>IF(LEN(A2489)=0,"",INDEX('Smelter Look-up'!$A:$A,MATCH($A2489,'Smelter Look-up'!$E:$E,0)))</f>
        <v/>
      </c>
      <c r="C2489" s="179" t="str">
        <f>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ca="1" si="348"/>
        <v/>
      </c>
      <c r="T2489" s="174" t="str">
        <f ca="1">IF(B2489="","",IF(ISERROR(MATCH($J2489,SorP!$B$1:$B$6279,0)),"",INDIRECT("'SorP'!$A$"&amp;MATCH($S2489&amp;$J2489,SorP!C:C,0))))</f>
        <v/>
      </c>
      <c r="U2489" s="194"/>
      <c r="V2489" s="218" t="e">
        <f>IF(C2489="",NA(),IF(OR(C2489="Smelter not listed",C2489="Smelter not yet identified"),MATCH($B2489&amp;$D2489,'Smelter Look-up'!$J:$J,0),MATCH($B2489&amp;$C2489,'Smelter Look-up'!$J:$J,0)))</f>
        <v>#N/A</v>
      </c>
      <c r="X2489" s="219">
        <f t="shared" ca="1" si="349"/>
        <v>0</v>
      </c>
      <c r="AB2489" s="220" t="str">
        <f t="shared" si="350"/>
        <v/>
      </c>
    </row>
    <row r="2490" spans="1:28" s="219" customFormat="1" ht="20.25">
      <c r="A2490" s="174"/>
      <c r="B2490" s="175" t="str">
        <f>IF(LEN(A2490)=0,"",INDEX('Smelter Look-up'!$A:$A,MATCH($A2490,'Smelter Look-up'!$E:$E,0)))</f>
        <v/>
      </c>
      <c r="C2490" s="179" t="str">
        <f>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t="shared" ca="1" si="348"/>
        <v/>
      </c>
      <c r="T2490" s="174" t="str">
        <f ca="1">IF(B2490="","",IF(ISERROR(MATCH($J2490,SorP!$B$1:$B$6279,0)),"",INDIRECT("'SorP'!$A$"&amp;MATCH($S2490&amp;$J2490,SorP!C:C,0))))</f>
        <v/>
      </c>
      <c r="U2490" s="194"/>
      <c r="V2490" s="218" t="e">
        <f>IF(C2490="",NA(),IF(OR(C2490="Smelter not listed",C2490="Smelter not yet identified"),MATCH($B2490&amp;$D2490,'Smelter Look-up'!$J:$J,0),MATCH($B2490&amp;$C2490,'Smelter Look-up'!$J:$J,0)))</f>
        <v>#N/A</v>
      </c>
      <c r="X2490" s="219">
        <f t="shared" ca="1" si="349"/>
        <v>0</v>
      </c>
      <c r="AB2490" s="220" t="str">
        <f t="shared" si="350"/>
        <v/>
      </c>
    </row>
    <row r="2491" spans="1:28" s="219" customFormat="1" ht="20.25">
      <c r="A2491" s="174"/>
      <c r="B2491" s="175" t="str">
        <f>IF(LEN(A2491)=0,"",INDEX('Smelter Look-up'!$A:$A,MATCH($A2491,'Smelter Look-up'!$E:$E,0)))</f>
        <v/>
      </c>
      <c r="C2491" s="179" t="str">
        <f>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t="shared" ref="S2491" ca="1" si="351">IF(B2491="","",IF(ISERROR(MATCH($E2491,CL,0)),"Unknown",INDIRECT("'C'!$A$"&amp;MATCH($E2491,CL,0)+1)))</f>
        <v/>
      </c>
      <c r="T2491" s="174" t="str">
        <f ca="1">IF(B2491="","",IF(ISERROR(MATCH($J2491,SorP!$B$1:$B$6279,0)),"",INDIRECT("'SorP'!$A$"&amp;MATCH($S2491&amp;$J2491,SorP!C:C,0))))</f>
        <v/>
      </c>
      <c r="U2491" s="194"/>
      <c r="V2491" s="218" t="e">
        <f>IF(C2491="",NA(),IF(OR(C2491="Smelter not listed",C2491="Smelter not yet identified"),MATCH($B2491&amp;$D2491,'Smelter Look-up'!$J:$J,0),MATCH($B2491&amp;$C2491,'Smelter Look-up'!$J:$J,0)))</f>
        <v>#N/A</v>
      </c>
      <c r="X2491" s="219">
        <f t="shared" ca="1" si="349"/>
        <v>0</v>
      </c>
      <c r="AB2491" s="220" t="str">
        <f t="shared" ref="AB2491" si="352">B2491&amp;C2491</f>
        <v/>
      </c>
    </row>
    <row r="2492" spans="1:28" s="219" customFormat="1" ht="20.25">
      <c r="A2492" s="174"/>
      <c r="B2492" s="175" t="str">
        <f>IF(LEN(A2492)=0,"",INDEX('Smelter Look-up'!$A:$A,MATCH($A2492,'Smelter Look-up'!$E:$E,0)))</f>
        <v/>
      </c>
      <c r="C2492" s="179" t="str">
        <f>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ca="1">IF(B2492="","",IF(ISERROR(MATCH($E2492,CL,0)),"Unknown",INDIRECT("'C'!$A$"&amp;MATCH($E2492,CL,0)+1)))</f>
        <v/>
      </c>
      <c r="T2492" s="174" t="str">
        <f ca="1">IF(B2492="","",IF(ISERROR(MATCH($J2492,SorP!$B$1:$B$6279,0)),"",INDIRECT("'SorP'!$A$"&amp;MATCH($S2492&amp;$J2492,SorP!C:C,0))))</f>
        <v/>
      </c>
      <c r="U2492" s="194"/>
      <c r="V2492" s="218" t="e">
        <f>IF(C2492="",NA(),IF(OR(C2492="Smelter not listed",C2492="Smelter not yet identified"),MATCH($B2492&amp;$D2492,'Smelter Look-up'!$J:$J,0),MATCH($B2492&amp;$C2492,'Smelter Look-up'!$J:$J,0)))</f>
        <v>#N/A</v>
      </c>
      <c r="X2492" s="219">
        <f t="shared" ca="1" si="349"/>
        <v>0</v>
      </c>
      <c r="AB2492" s="220" t="str">
        <f>B2492&amp;C2492</f>
        <v/>
      </c>
    </row>
    <row r="2493" spans="1:28" s="219" customFormat="1" ht="20.25">
      <c r="A2493" s="174"/>
      <c r="B2493" s="175" t="str">
        <f>IF(LEN(A2493)=0,"",INDEX('Smelter Look-up'!$A:$A,MATCH($A2493,'Smelter Look-up'!$E:$E,0)))</f>
        <v/>
      </c>
      <c r="C2493" s="179" t="str">
        <f>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t="shared" ref="S2493" ca="1" si="353">IF(B2493="","",IF(ISERROR(MATCH($E2493,CL,0)),"Unknown",INDIRECT("'C'!$A$"&amp;MATCH($E2493,CL,0)+1)))</f>
        <v/>
      </c>
      <c r="T2493" s="174" t="str">
        <f ca="1">IF(B2493="","",IF(ISERROR(MATCH($J2493,SorP!$B$1:$B$6279,0)),"",INDIRECT("'SorP'!$A$"&amp;MATCH($S2493&amp;$J2493,SorP!C:C,0))))</f>
        <v/>
      </c>
      <c r="U2493" s="194"/>
      <c r="V2493" s="218" t="e">
        <f>IF(C2493="",NA(),IF(OR(C2493="Smelter not listed",C2493="Smelter not yet identified"),MATCH($B2493&amp;$D2493,'Smelter Look-up'!$J:$J,0),MATCH($B2493&amp;$C2493,'Smelter Look-up'!$J:$J,0)))</f>
        <v>#N/A</v>
      </c>
      <c r="AB2493" s="220"/>
    </row>
    <row r="2494" spans="1:28" s="219" customFormat="1" ht="20.25">
      <c r="A2494" s="174"/>
      <c r="B2494" s="175" t="str">
        <f>IF(LEN(A2494)=0,"",INDEX('Smelter Look-up'!$A:$A,MATCH($A2494,'Smelter Look-up'!$E:$E,0)))</f>
        <v/>
      </c>
      <c r="C2494" s="179" t="str">
        <f>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ref="S2494:S2504" ca="1" si="354">IF(B2494="","",IF(ISERROR(MATCH($E2494,CL,0)),"Unknown",INDIRECT("'C'!$A$"&amp;MATCH($E2494,CL,0)+1)))</f>
        <v/>
      </c>
      <c r="T2494" s="174" t="str">
        <f ca="1">IF(B2494="","",IF(ISERROR(MATCH($J2494,SorP!$B$1:$B$6279,0)),"",INDIRECT("'SorP'!$A$"&amp;MATCH($S2494&amp;$J2494,SorP!C:C,0))))</f>
        <v/>
      </c>
      <c r="U2494" s="194"/>
      <c r="V2494" s="218" t="e">
        <f>IF(C2494="",NA(),IF(OR(C2494="Smelter not listed",C2494="Smelter not yet identified"),MATCH($B2494&amp;$D2494,'Smelter Look-up'!$J:$J,0),MATCH($B2494&amp;$C2494,'Smelter Look-up'!$J:$J,0)))</f>
        <v>#N/A</v>
      </c>
      <c r="AB2494" s="220"/>
    </row>
    <row r="2495" spans="1:28" s="219" customFormat="1" ht="20.25">
      <c r="A2495" s="174"/>
      <c r="B2495" s="175" t="str">
        <f>IF(LEN(A2495)=0,"",INDEX('Smelter Look-up'!$A:$A,MATCH($A2495,'Smelter Look-up'!$E:$E,0)))</f>
        <v/>
      </c>
      <c r="C2495" s="179" t="str">
        <f>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354"/>
        <v/>
      </c>
      <c r="T2495" s="174" t="str">
        <f ca="1">IF(B2495="","",IF(ISERROR(MATCH($J2495,SorP!$B$1:$B$6279,0)),"",INDIRECT("'SorP'!$A$"&amp;MATCH($S2495&amp;$J2495,SorP!C:C,0))))</f>
        <v/>
      </c>
      <c r="U2495" s="194"/>
      <c r="V2495" s="218" t="e">
        <f>IF(C2495="",NA(),IF(OR(C2495="Smelter not listed",C2495="Smelter not yet identified"),MATCH($B2495&amp;$D2495,'Smelter Look-up'!$J:$J,0),MATCH($B2495&amp;$C2495,'Smelter Look-up'!$J:$J,0)))</f>
        <v>#N/A</v>
      </c>
      <c r="AB2495" s="220"/>
    </row>
    <row r="2496" spans="1:28" s="219" customFormat="1" ht="20.25">
      <c r="A2496" s="174"/>
      <c r="B2496" s="175" t="str">
        <f>IF(LEN(A2496)=0,"",INDEX('Smelter Look-up'!$A:$A,MATCH($A2496,'Smelter Look-up'!$E:$E,0)))</f>
        <v/>
      </c>
      <c r="C2496" s="179" t="str">
        <f>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354"/>
        <v/>
      </c>
      <c r="T2496" s="174" t="str">
        <f ca="1">IF(B2496="","",IF(ISERROR(MATCH($J2496,SorP!$B$1:$B$6279,0)),"",INDIRECT("'SorP'!$A$"&amp;MATCH($S2496&amp;$J2496,SorP!C:C,0))))</f>
        <v/>
      </c>
      <c r="U2496" s="194"/>
      <c r="V2496" s="218" t="e">
        <f>IF(C2496="",NA(),IF(OR(C2496="Smelter not listed",C2496="Smelter not yet identified"),MATCH($B2496&amp;$D2496,'Smelter Look-up'!$J:$J,0),MATCH($B2496&amp;$C2496,'Smelter Look-up'!$J:$J,0)))</f>
        <v>#N/A</v>
      </c>
      <c r="AB2496" s="220"/>
    </row>
    <row r="2497" spans="1:28" s="219" customFormat="1" ht="20.25">
      <c r="A2497" s="174"/>
      <c r="B2497" s="175" t="str">
        <f>IF(LEN(A2497)=0,"",INDEX('Smelter Look-up'!$A:$A,MATCH($A2497,'Smelter Look-up'!$E:$E,0)))</f>
        <v/>
      </c>
      <c r="C2497" s="179" t="str">
        <f>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354"/>
        <v/>
      </c>
      <c r="T2497" s="174" t="str">
        <f ca="1">IF(B2497="","",IF(ISERROR(MATCH($J2497,SorP!$B$1:$B$6279,0)),"",INDIRECT("'SorP'!$A$"&amp;MATCH($S2497&amp;$J2497,SorP!C:C,0))))</f>
        <v/>
      </c>
      <c r="U2497" s="194"/>
      <c r="V2497" s="218" t="e">
        <f>IF(C2497="",NA(),IF(OR(C2497="Smelter not listed",C2497="Smelter not yet identified"),MATCH($B2497&amp;$D2497,'Smelter Look-up'!$J:$J,0),MATCH($B2497&amp;$C2497,'Smelter Look-up'!$J:$J,0)))</f>
        <v>#N/A</v>
      </c>
      <c r="AB2497" s="220"/>
    </row>
    <row r="2498" spans="1:28" s="219" customFormat="1" ht="20.25">
      <c r="A2498" s="174"/>
      <c r="B2498" s="175" t="str">
        <f>IF(LEN(A2498)=0,"",INDEX('Smelter Look-up'!$A:$A,MATCH($A2498,'Smelter Look-up'!$E:$E,0)))</f>
        <v/>
      </c>
      <c r="C2498" s="179" t="str">
        <f>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354"/>
        <v/>
      </c>
      <c r="T2498" s="174" t="str">
        <f ca="1">IF(B2498="","",IF(ISERROR(MATCH($J2498,SorP!$B$1:$B$6279,0)),"",INDIRECT("'SorP'!$A$"&amp;MATCH($S2498&amp;$J2498,SorP!C:C,0))))</f>
        <v/>
      </c>
      <c r="U2498" s="194"/>
      <c r="V2498" s="218" t="e">
        <f>IF(C2498="",NA(),IF(OR(C2498="Smelter not listed",C2498="Smelter not yet identified"),MATCH($B2498&amp;$D2498,'Smelter Look-up'!$J:$J,0),MATCH($B2498&amp;$C2498,'Smelter Look-up'!$J:$J,0)))</f>
        <v>#N/A</v>
      </c>
      <c r="AB2498" s="220"/>
    </row>
    <row r="2499" spans="1:28" s="219" customFormat="1" ht="20.25">
      <c r="A2499" s="174"/>
      <c r="B2499" s="175" t="str">
        <f>IF(LEN(A2499)=0,"",INDEX('Smelter Look-up'!$A:$A,MATCH($A2499,'Smelter Look-up'!$E:$E,0)))</f>
        <v/>
      </c>
      <c r="C2499" s="179" t="str">
        <f>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354"/>
        <v/>
      </c>
      <c r="T2499" s="174" t="str">
        <f ca="1">IF(B2499="","",IF(ISERROR(MATCH($J2499,SorP!$B$1:$B$6279,0)),"",INDIRECT("'SorP'!$A$"&amp;MATCH($S2499&amp;$J2499,SorP!C:C,0))))</f>
        <v/>
      </c>
      <c r="U2499" s="194"/>
      <c r="V2499" s="218" t="e">
        <f>IF(C2499="",NA(),IF(OR(C2499="Smelter not listed",C2499="Smelter not yet identified"),MATCH($B2499&amp;$D2499,'Smelter Look-up'!$J:$J,0),MATCH($B2499&amp;$C2499,'Smelter Look-up'!$J:$J,0)))</f>
        <v>#N/A</v>
      </c>
      <c r="AB2499" s="220"/>
    </row>
    <row r="2500" spans="1:28" s="219" customFormat="1" ht="20.25">
      <c r="A2500" s="174"/>
      <c r="B2500" s="175" t="str">
        <f>IF(LEN(A2500)=0,"",INDEX('Smelter Look-up'!$A:$A,MATCH($A2500,'Smelter Look-up'!$E:$E,0)))</f>
        <v/>
      </c>
      <c r="C2500" s="179" t="str">
        <f>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354"/>
        <v/>
      </c>
      <c r="T2500" s="174" t="str">
        <f ca="1">IF(B2500="","",IF(ISERROR(MATCH($J2500,SorP!$B$1:$B$6279,0)),"",INDIRECT("'SorP'!$A$"&amp;MATCH($S2500&amp;$J2500,SorP!C:C,0))))</f>
        <v/>
      </c>
      <c r="U2500" s="194"/>
      <c r="V2500" s="218" t="e">
        <f>IF(C2500="",NA(),IF(OR(C2500="Smelter not listed",C2500="Smelter not yet identified"),MATCH($B2500&amp;$D2500,'Smelter Look-up'!$J:$J,0),MATCH($B2500&amp;$C2500,'Smelter Look-up'!$J:$J,0)))</f>
        <v>#N/A</v>
      </c>
      <c r="AB2500" s="220"/>
    </row>
    <row r="2501" spans="1:28" s="219" customFormat="1" ht="20.25">
      <c r="A2501" s="174"/>
      <c r="B2501" s="175" t="str">
        <f>IF(LEN(A2501)=0,"",INDEX('Smelter Look-up'!$A:$A,MATCH($A2501,'Smelter Look-up'!$E:$E,0)))</f>
        <v/>
      </c>
      <c r="C2501" s="179" t="str">
        <f>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354"/>
        <v/>
      </c>
      <c r="T2501" s="174" t="str">
        <f ca="1">IF(B2501="","",IF(ISERROR(MATCH($J2501,SorP!$B$1:$B$6279,0)),"",INDIRECT("'SorP'!$A$"&amp;MATCH($S2501&amp;$J2501,SorP!C:C,0))))</f>
        <v/>
      </c>
      <c r="U2501" s="194"/>
      <c r="V2501" s="218" t="e">
        <f>IF(C2501="",NA(),IF(OR(C2501="Smelter not listed",C2501="Smelter not yet identified"),MATCH($B2501&amp;$D2501,'Smelter Look-up'!$J:$J,0),MATCH($B2501&amp;$C2501,'Smelter Look-up'!$J:$J,0)))</f>
        <v>#N/A</v>
      </c>
      <c r="AB2501" s="220"/>
    </row>
    <row r="2502" spans="1:28" s="219" customFormat="1" ht="20.25">
      <c r="A2502" s="174"/>
      <c r="B2502" s="175" t="str">
        <f>IF(LEN(A2502)=0,"",INDEX('Smelter Look-up'!$A:$A,MATCH($A2502,'Smelter Look-up'!$E:$E,0)))</f>
        <v/>
      </c>
      <c r="C2502" s="179" t="str">
        <f>IF(LEN(A2502)=0,"",INDEX('Smelter Look-up'!$C:$C,MATCH($A2502,'Smelter Look-up'!$E:$E,0)))</f>
        <v/>
      </c>
      <c r="D2502" s="222"/>
      <c r="E2502" s="175" t="str">
        <f ca="1">IF(ISERROR($V2502),"",OFFSET('Smelter Look-up'!$D$4,$V2502-4,0)&amp;"")</f>
        <v/>
      </c>
      <c r="F2502" s="175" t="str">
        <f ca="1">IF(ISERROR($V2502),"",OFFSET('Smelter Look-up'!$E$4,$V2502-4,0))</f>
        <v/>
      </c>
      <c r="G2502" s="175" t="str">
        <f ca="1">IF(C2502=$X$4,IF(ISERROR($V2502),"Enter smelter details","RMI"),IF(ISERROR($V2502),"",OFFSET('Smelter Look-up'!$F$4,$V2502-4,0)))</f>
        <v/>
      </c>
      <c r="H2502" s="176" t="str">
        <f ca="1">IF(ISERROR($V2502),"",OFFSET('Smelter Look-up'!$G$4,$V2502-4,0))</f>
        <v/>
      </c>
      <c r="I2502" s="177" t="str">
        <f ca="1">IF(ISERROR($V2502),"",OFFSET('Smelter Look-up'!$H$4,$V2502-4,0))</f>
        <v/>
      </c>
      <c r="J2502" s="177" t="str">
        <f ca="1">IF(ISERROR($V2502),"",OFFSET('Smelter Look-up'!$I$4,$V2502-4,0))</f>
        <v/>
      </c>
      <c r="K2502" s="216"/>
      <c r="L2502" s="216"/>
      <c r="M2502" s="216"/>
      <c r="N2502" s="216"/>
      <c r="O2502" s="216"/>
      <c r="P2502" s="178"/>
      <c r="Q2502" s="217"/>
      <c r="R2502" s="175" t="str">
        <f ca="1">IF(ISERROR($V2502),"",OFFSET('Smelter Look-up'!$C$4,$V2502-4,0)&amp;"")</f>
        <v/>
      </c>
      <c r="S2502" s="174" t="str">
        <f t="shared" ca="1" si="354"/>
        <v/>
      </c>
      <c r="T2502" s="174" t="str">
        <f ca="1">IF(B2502="","",IF(ISERROR(MATCH($J2502,SorP!$B$1:$B$6279,0)),"",INDIRECT("'SorP'!$A$"&amp;MATCH($S2502&amp;$J2502,SorP!C:C,0))))</f>
        <v/>
      </c>
      <c r="U2502" s="194"/>
      <c r="V2502" s="218" t="e">
        <f>IF(C2502="",NA(),IF(OR(C2502="Smelter not listed",C2502="Smelter not yet identified"),MATCH($B2502&amp;$D2502,'Smelter Look-up'!$J:$J,0),MATCH($B2502&amp;$C2502,'Smelter Look-up'!$J:$J,0)))</f>
        <v>#N/A</v>
      </c>
      <c r="AB2502" s="220"/>
    </row>
    <row r="2503" spans="1:28" s="219" customFormat="1" ht="20.25">
      <c r="A2503" s="174"/>
      <c r="B2503" s="175" t="str">
        <f>IF(LEN(A2503)=0,"",INDEX('Smelter Look-up'!$A:$A,MATCH($A2503,'Smelter Look-up'!$E:$E,0)))</f>
        <v/>
      </c>
      <c r="C2503" s="179" t="str">
        <f>IF(LEN(A2503)=0,"",INDEX('Smelter Look-up'!$C:$C,MATCH($A2503,'Smelter Look-up'!$E:$E,0)))</f>
        <v/>
      </c>
      <c r="D2503" s="222"/>
      <c r="E2503" s="175" t="str">
        <f ca="1">IF(ISERROR($V2503),"",OFFSET('Smelter Look-up'!$D$4,$V2503-4,0)&amp;"")</f>
        <v/>
      </c>
      <c r="F2503" s="175" t="str">
        <f ca="1">IF(ISERROR($V2503),"",OFFSET('Smelter Look-up'!$E$4,$V2503-4,0))</f>
        <v/>
      </c>
      <c r="G2503" s="175" t="str">
        <f ca="1">IF(C2503=$X$4,IF(ISERROR($V2503),"Enter smelter details","RMI"),IF(ISERROR($V2503),"",OFFSET('Smelter Look-up'!$F$4,$V2503-4,0)))</f>
        <v/>
      </c>
      <c r="H2503" s="176" t="str">
        <f ca="1">IF(ISERROR($V2503),"",OFFSET('Smelter Look-up'!$G$4,$V2503-4,0))</f>
        <v/>
      </c>
      <c r="I2503" s="177" t="str">
        <f ca="1">IF(ISERROR($V2503),"",OFFSET('Smelter Look-up'!$H$4,$V2503-4,0))</f>
        <v/>
      </c>
      <c r="J2503" s="177" t="str">
        <f ca="1">IF(ISERROR($V2503),"",OFFSET('Smelter Look-up'!$I$4,$V2503-4,0))</f>
        <v/>
      </c>
      <c r="K2503" s="216"/>
      <c r="L2503" s="216"/>
      <c r="M2503" s="216"/>
      <c r="N2503" s="216"/>
      <c r="O2503" s="216"/>
      <c r="P2503" s="178"/>
      <c r="Q2503" s="217"/>
      <c r="R2503" s="175" t="str">
        <f ca="1">IF(ISERROR($V2503),"",OFFSET('Smelter Look-up'!$C$4,$V2503-4,0)&amp;"")</f>
        <v/>
      </c>
      <c r="S2503" s="174" t="str">
        <f t="shared" ca="1" si="354"/>
        <v/>
      </c>
      <c r="T2503" s="174" t="str">
        <f ca="1">IF(B2503="","",IF(ISERROR(MATCH($J2503,SorP!$B$1:$B$6279,0)),"",INDIRECT("'SorP'!$A$"&amp;MATCH($S2503&amp;$J2503,SorP!C:C,0))))</f>
        <v/>
      </c>
      <c r="U2503" s="194"/>
      <c r="V2503" s="218" t="e">
        <f>IF(C2503="",NA(),IF(OR(C2503="Smelter not listed",C2503="Smelter not yet identified"),MATCH($B2503&amp;$D2503,'Smelter Look-up'!$J:$J,0),MATCH($B2503&amp;$C2503,'Smelter Look-up'!$J:$J,0)))</f>
        <v>#N/A</v>
      </c>
      <c r="AB2503" s="220"/>
    </row>
    <row r="2504" spans="1:28" s="219" customFormat="1" ht="20.25">
      <c r="A2504" s="174"/>
      <c r="B2504" s="276" t="str">
        <f>IF(LEN(A2504)=0,"",INDEX('Smelter Look-up'!$A:$A,MATCH($A2504,'Smelter Look-up'!$E:$E,0)))</f>
        <v/>
      </c>
      <c r="C2504" s="179" t="str">
        <f>IF(LEN(A2504)=0,"",INDEX('Smelter Look-up'!$C:$C,MATCH($A2504,'Smelter Look-up'!$E:$E,0)))</f>
        <v/>
      </c>
      <c r="D2504" s="279"/>
      <c r="E2504" s="276" t="str">
        <f ca="1">IF(ISERROR($V2504),"",OFFSET('Smelter Look-up'!$D$4,$V2504-4,0)&amp;"")</f>
        <v/>
      </c>
      <c r="F2504" s="276" t="str">
        <f ca="1">IF(ISERROR($V2504),"",OFFSET('Smelter Look-up'!$E$4,$V2504-4,0))</f>
        <v/>
      </c>
      <c r="G2504" s="276" t="str">
        <f ca="1">IF(C2504=$X$4,IF(ISERROR($V2504),"Enter smelter details","RMI"),IF(ISERROR($V2504),"",OFFSET('Smelter Look-up'!$F$4,$V2504-4,0)))</f>
        <v/>
      </c>
      <c r="H2504" s="280" t="str">
        <f ca="1">IF(ISERROR($V2504),"",OFFSET('Smelter Look-up'!$G$4,$V2504-4,0))</f>
        <v/>
      </c>
      <c r="I2504" s="281" t="str">
        <f ca="1">IF(ISERROR($V2504),"",OFFSET('Smelter Look-up'!$H$4,$V2504-4,0))</f>
        <v/>
      </c>
      <c r="J2504" s="282" t="str">
        <f ca="1">IF(ISERROR($V2504),"",OFFSET('Smelter Look-up'!$I$4,$V2504-4,0))</f>
        <v/>
      </c>
      <c r="K2504" s="216"/>
      <c r="L2504" s="216"/>
      <c r="M2504" s="216"/>
      <c r="N2504" s="216"/>
      <c r="O2504" s="216"/>
      <c r="P2504" s="278"/>
      <c r="Q2504" s="275"/>
      <c r="R2504" s="277" t="str">
        <f ca="1">IF(ISERROR($V2504),"",OFFSET('Smelter Look-up'!$C$4,$V2504-4,0)&amp;"")</f>
        <v/>
      </c>
      <c r="S2504" s="274" t="str">
        <f t="shared" ca="1" si="354"/>
        <v/>
      </c>
      <c r="T2504" s="174" t="str">
        <f ca="1">IF(B2504="","",IF(ISERROR(MATCH($J2504,SorP!$B$1:$B$6279,0)),"",INDIRECT("'SorP'!$A$"&amp;MATCH($S2504&amp;$J2504,SorP!C:C,0))))</f>
        <v/>
      </c>
      <c r="U2504" s="194"/>
      <c r="V2504" s="218" t="e">
        <f>IF(C2504="",NA(),IF(OR(C2504="Smelter not listed",C2504="Smelter not yet identified"),MATCH($B2504&amp;$D2504,'Smelter Look-up'!$J:$J,0),MATCH($B2504&amp;$C2504,'Smelter Look-up'!$J:$J,0)))</f>
        <v>#N/A</v>
      </c>
      <c r="X2504" s="219">
        <f ca="1">IF(AND(C2504="Smelter not listed",OR(LEN(D2504)=0,LEN(E2504)=0)),1,0)</f>
        <v>0</v>
      </c>
      <c r="AB2504" s="220"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EF646DA-F9DE-47D1-AE20-6126ECD7DC1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2" t="str">
        <f ca="1">OFFSET(L!$C$1,MATCH("Checker"&amp;ADDRESS(ROW(),COLUMN(),4),L!$A:$A,0)-1,SL,,)</f>
        <v>To ensure all required fields have been populated before submitting to your customers review form for any line items highlighted in red</v>
      </c>
      <c r="B1" s="392"/>
      <c r="C1" s="392"/>
      <c r="D1" s="113" t="str">
        <f ca="1">OFFSET(L!$C$1,MATCH("Checker"&amp;ADDRESS(ROW(),COLUMN(),4),L!$A:$A,0)-1,SL,,)</f>
        <v>Required fields remaining to be completed</v>
      </c>
      <c r="E1" s="18" t="s">
        <v>100</v>
      </c>
    </row>
    <row r="2" spans="1:10" ht="15">
      <c r="A2" s="62" t="s">
        <v>140</v>
      </c>
      <c r="B2" s="63" t="str">
        <f>IF(F65=1,"Click here to return to Smelter List","")</f>
        <v/>
      </c>
      <c r="C2" s="115" t="str">
        <f>IF(F65=1,"Click here to return to Product List","")</f>
        <v/>
      </c>
      <c r="D2" s="144" t="str">
        <f ca="1">IF(H70=0,"0",H70)</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141</v>
      </c>
      <c r="G3" s="17" t="s">
        <v>142</v>
      </c>
      <c r="H3" s="17" t="s">
        <v>143</v>
      </c>
      <c r="I3" s="17" t="s">
        <v>144</v>
      </c>
      <c r="J3" s="17" t="s">
        <v>145</v>
      </c>
    </row>
    <row r="4" spans="1:10" ht="39">
      <c r="A4" s="84" t="str">
        <f ca="1">Declaration!B8</f>
        <v>Company Name (*):</v>
      </c>
      <c r="B4" s="83" t="str">
        <f>Declaration!D8</f>
        <v>Machine Dynamics &amp; Engineering, dba DuraFin Tube</v>
      </c>
      <c r="C4" s="83" t="str">
        <f t="shared" ref="C4" ca="1" si="0">IF(H4=1,J4,I4)</f>
        <v>Complete</v>
      </c>
      <c r="D4" s="89" t="str">
        <f>IF(H4=1,"Click here to enter Company Name","")</f>
        <v/>
      </c>
      <c r="E4" s="18" t="s">
        <v>103</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103</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Description of Scope:</v>
      </c>
      <c r="B6" s="83" t="str">
        <f>Declaration!D10</f>
        <v xml:space="preserve">Production of Finned and enhanced tubing including Bending, coiling, extruded, corrugated tubing. Material specifications defined in Purchase Order, Print Specification, Customer Requirements when provided by the customer. </v>
      </c>
      <c r="C6" s="83" t="str">
        <f ca="1">IF(H6=1,J6,I6)</f>
        <v>Complete</v>
      </c>
      <c r="D6" s="89" t="str">
        <f>IF(H6=1,"Click here to provide a Description of Scope","")</f>
        <v/>
      </c>
      <c r="E6" s="18" t="s">
        <v>103</v>
      </c>
      <c r="F6" s="88">
        <f>IF(OR(B5=Declaration!P9,B5=Declaration!Q9,B5=0),0,1)</f>
        <v>0</v>
      </c>
      <c r="G6" s="66">
        <f>IF(B6=0,1,0)</f>
        <v>0</v>
      </c>
      <c r="H6" s="67">
        <f t="shared" ref="H6:H17" si="3">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David Myers</v>
      </c>
      <c r="C7" s="83" t="str">
        <f ca="1">IF(H7=1,J7,I7)</f>
        <v>Complete</v>
      </c>
      <c r="D7" s="89" t="str">
        <f>IF(H7=1,"Click here to enter Contact Name","")</f>
        <v/>
      </c>
      <c r="E7" s="18" t="s">
        <v>103</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dmyers@durafintube.com</v>
      </c>
      <c r="C8" s="83" t="str">
        <f ca="1">IF(H8=1,J8,I8)</f>
        <v>Complete</v>
      </c>
      <c r="D8" s="89" t="str">
        <f>IF(H8=1,"Click here to enter Email-Contact","")</f>
        <v/>
      </c>
      <c r="E8" s="18" t="s">
        <v>103</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330-868-3060</v>
      </c>
      <c r="C9" s="83" t="str">
        <f ca="1">IF(H9=1,J9,I9)</f>
        <v>Complete</v>
      </c>
      <c r="D9" s="89" t="str">
        <f>IF(H9=1,"Click here to enter Phone-Contact","")</f>
        <v/>
      </c>
      <c r="E9" s="18" t="s">
        <v>103</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Kenneth Barkan</v>
      </c>
      <c r="C10" s="83" t="str">
        <f t="shared" ref="C10" ca="1" si="4">IF(H10=1,J10,I10)</f>
        <v>Complete</v>
      </c>
      <c r="D10" s="89" t="str">
        <f>IF(H10=1,"Click here to enter an Authorized Company Representative's name","")</f>
        <v/>
      </c>
      <c r="E10" s="18" t="s">
        <v>103</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kbarkan @durafintube.com</v>
      </c>
      <c r="C11" s="83" t="str">
        <f ca="1">IF(H11=1,J11,I11)</f>
        <v>Complete</v>
      </c>
      <c r="D11" s="89" t="str">
        <f>IF(H11=1,"Click here to enter Representative's email","")</f>
        <v/>
      </c>
      <c r="E11" s="18" t="s">
        <v>103</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45231</v>
      </c>
      <c r="C12" s="83" t="str">
        <f ca="1">IF(H12=1,J12,I12)</f>
        <v>Complete</v>
      </c>
      <c r="D12" s="89" t="str">
        <f>IF(H12=1,"Click here to enter Date of Completion","")</f>
        <v/>
      </c>
      <c r="E12" s="18" t="s">
        <v>103</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3.75">
      <c r="A13" s="83" t="str">
        <f ca="1">Declaration!B25</f>
        <v>1) Is any 3TG intentionally added or used in the product(s) or in the production process? (*)</v>
      </c>
      <c r="B13" s="86"/>
      <c r="C13" s="86"/>
      <c r="D13" s="90"/>
      <c r="E13" s="18" t="s">
        <v>105</v>
      </c>
      <c r="F13" s="87"/>
      <c r="H13" s="17">
        <f t="shared" si="3"/>
        <v>0</v>
      </c>
    </row>
    <row r="14" spans="1:10" ht="26.25">
      <c r="A14" s="84" t="str">
        <f ca="1">Declaration!B26</f>
        <v xml:space="preserve">Tantalum  </v>
      </c>
      <c r="B14" s="83" t="str">
        <f>Declaration!D26</f>
        <v>No</v>
      </c>
      <c r="C14" s="83" t="str">
        <f ca="1">IF(H14=1,J14,I14)</f>
        <v>Complete</v>
      </c>
      <c r="D14" s="89" t="str">
        <f>IF(H14=1,"Click here to answer question 1 for Tantalum","")</f>
        <v/>
      </c>
      <c r="E14" s="18" t="s">
        <v>100</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103</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 xml:space="preserve">Gold  </v>
      </c>
      <c r="B16" s="83" t="str">
        <f>Declaration!D28</f>
        <v>No</v>
      </c>
      <c r="C16" s="83" t="str">
        <f ca="1">IF(H16=1,J16,I16)</f>
        <v>Complete</v>
      </c>
      <c r="D16" s="89" t="str">
        <f>IF(H16=1,"Click here to answer question 1 for Gold","")</f>
        <v/>
      </c>
      <c r="E16" s="18" t="s">
        <v>103</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 xml:space="preserve">Tungsten  </v>
      </c>
      <c r="B17" s="83" t="str">
        <f>Declaration!D29</f>
        <v>No</v>
      </c>
      <c r="C17" s="83" t="str">
        <f ca="1">IF(H17=1,J17,I17)</f>
        <v>Complete</v>
      </c>
      <c r="D17" s="89" t="str">
        <f>IF(H17=1,"Click here to answer question 1 for Tungsten","")</f>
        <v/>
      </c>
      <c r="E17" s="18" t="s">
        <v>103</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99</v>
      </c>
      <c r="F18" s="87"/>
      <c r="J18" s="141"/>
    </row>
    <row r="19" spans="1:10" ht="39">
      <c r="A19" s="84" t="str">
        <f ca="1">Declaration!B32</f>
        <v xml:space="preserve">Tantalum  </v>
      </c>
      <c r="B19" s="83">
        <f>IF($B$14="Yes",Declaration!D32,0)</f>
        <v>0</v>
      </c>
      <c r="C19" s="83" t="str">
        <f ca="1">IF(H19=1,J19,I19)</f>
        <v>Complete</v>
      </c>
      <c r="D19" s="91" t="str">
        <f>IF(H19=1,"Click here to answer question 2 for Tantalum","")</f>
        <v/>
      </c>
      <c r="E19" s="18" t="s">
        <v>103</v>
      </c>
      <c r="F19" s="88">
        <f>IF(B$14="No",0,1)</f>
        <v>0</v>
      </c>
      <c r="G19" s="66">
        <f>IF(B19=0,1,0)</f>
        <v>1</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103</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 xml:space="preserve">Gold  </v>
      </c>
      <c r="B21" s="83">
        <f>IF($B$16="Yes",Declaration!D34,0)</f>
        <v>0</v>
      </c>
      <c r="C21" s="83" t="str">
        <f ca="1">IF(H21=1,J21,I21)</f>
        <v>Complete</v>
      </c>
      <c r="D21" s="91" t="str">
        <f>IF(H21=1,"Click here to answer question 2 for Gold","")</f>
        <v/>
      </c>
      <c r="E21" s="18" t="s">
        <v>103</v>
      </c>
      <c r="F21" s="88">
        <f>IF(B$16="No",0,1)</f>
        <v>0</v>
      </c>
      <c r="G21" s="66">
        <f>IF(B21=0,1,0)</f>
        <v>1</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 xml:space="preserve">Tungsten  </v>
      </c>
      <c r="B22" s="83">
        <f>IF($B$17="Yes",Declaration!D35,0)</f>
        <v>0</v>
      </c>
      <c r="C22" s="83" t="str">
        <f ca="1">IF(H22=1,J22,I22)</f>
        <v>Complete</v>
      </c>
      <c r="D22" s="91" t="str">
        <f>IF(H22=1,"Click here to answer question 2 for Tungsten","")</f>
        <v/>
      </c>
      <c r="E22" s="18" t="s">
        <v>103</v>
      </c>
      <c r="F22" s="88">
        <f>IF(B$17="No",0,1)</f>
        <v>0</v>
      </c>
      <c r="G22" s="66">
        <f>IF(B22=0,1,0)</f>
        <v>1</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103</v>
      </c>
      <c r="F23" s="87"/>
      <c r="J23" s="141"/>
    </row>
    <row r="24" spans="1:10" ht="39">
      <c r="A24" s="84" t="str">
        <f ca="1">Declaration!B38</f>
        <v xml:space="preserve">Tantalum  </v>
      </c>
      <c r="B24" s="83">
        <f>IF(AND($B$14="Yes",$B$19="Yes"),Declaration!D38,0)</f>
        <v>0</v>
      </c>
      <c r="C24" s="83" t="str">
        <f ca="1">IF(H24=1,J24,I24)</f>
        <v>Complete</v>
      </c>
      <c r="D24" s="91" t="str">
        <f>IF(H24=1,"Click here to answer question 3 for Tantalum","")</f>
        <v/>
      </c>
      <c r="E24" s="18" t="s">
        <v>103</v>
      </c>
      <c r="F24" s="88">
        <f>IF(OR(B14="No",B19="No"),0,1)</f>
        <v>0</v>
      </c>
      <c r="G24" s="66">
        <f t="shared" ref="G24" si="6">IF(B24=0,1,0)</f>
        <v>1</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Yes</v>
      </c>
      <c r="C25" s="83" t="str">
        <f ca="1">IF(H25=1,J25,I25)</f>
        <v>Complete</v>
      </c>
      <c r="D25" s="91" t="str">
        <f>IF(H25=1,"Click here to answer question 3 for Tin","")</f>
        <v/>
      </c>
      <c r="E25" s="18" t="s">
        <v>103</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 xml:space="preserve">Gold  </v>
      </c>
      <c r="B26" s="83">
        <f>IF(AND($B$16="Yes",$B$21="Yes"),Declaration!D40,0)</f>
        <v>0</v>
      </c>
      <c r="C26" s="83" t="str">
        <f ca="1">IF(H26=1,J26,I26)</f>
        <v>Complete</v>
      </c>
      <c r="D26" s="91" t="str">
        <f>IF(H26=1,"Click here to answer question 3 for Gold","")</f>
        <v/>
      </c>
      <c r="E26" s="18" t="s">
        <v>103</v>
      </c>
      <c r="F26" s="88">
        <f>IF(OR(B16="No",B21="No"),0,1)</f>
        <v>0</v>
      </c>
      <c r="G26" s="66">
        <f>IF(B26=0,1,0)</f>
        <v>1</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 xml:space="preserve">Tungsten  </v>
      </c>
      <c r="B27" s="83">
        <f>IF(AND($B$17="Yes",$B$22="Yes"),Declaration!D41,0)</f>
        <v>0</v>
      </c>
      <c r="C27" s="83" t="str">
        <f ca="1">IF(H27=1,J27,I27)</f>
        <v>Complete</v>
      </c>
      <c r="D27" s="91" t="str">
        <f>IF(H27=1,"Click here to answer question 3 for Tungsten","")</f>
        <v/>
      </c>
      <c r="E27" s="18" t="s">
        <v>103</v>
      </c>
      <c r="F27" s="88">
        <f>IF(OR(B17="No",B22="No"),0,1)</f>
        <v>0</v>
      </c>
      <c r="G27" s="66">
        <f>IF(B27=0,1,0)</f>
        <v>1</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40"/>
    </row>
    <row r="29" spans="1:10" ht="41.1" customHeight="1">
      <c r="A29" s="84" t="str">
        <f ca="1">Declaration!B44</f>
        <v xml:space="preserve">Tantalum  </v>
      </c>
      <c r="B29" s="83">
        <f>IF(AND($B$14="Yes",$B$19="Yes"),Declaration!D44,0)</f>
        <v>0</v>
      </c>
      <c r="C29" s="83" t="str">
        <f ca="1">IF(H29=1,J29,I29)</f>
        <v>Complete</v>
      </c>
      <c r="D29" s="252" t="str">
        <f>IF(H29=1,"Click here to answer question 4 for Tantalum","")</f>
        <v/>
      </c>
      <c r="E29" s="18"/>
      <c r="F29" s="88">
        <f>F24</f>
        <v>0</v>
      </c>
      <c r="G29" s="66">
        <f t="shared" ref="G29" si="8">IF(B29=0,1,0)</f>
        <v>1</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Yes</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 xml:space="preserve">Gold  </v>
      </c>
      <c r="B31" s="83">
        <f>IF(AND($B$16="Yes",$B$21="Yes"),Declaration!D46,0)</f>
        <v>0</v>
      </c>
      <c r="C31" s="83" t="str">
        <f ca="1">IF(H31=1,J31,I31)</f>
        <v>Complete</v>
      </c>
      <c r="D31" s="252" t="str">
        <f>IF(H31=1,"Click here to answer question 4 for Gold","")</f>
        <v/>
      </c>
      <c r="E31" s="18"/>
      <c r="F31" s="88">
        <f>F26</f>
        <v>0</v>
      </c>
      <c r="G31" s="66">
        <f>IF(B31=0,1,0)</f>
        <v>1</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 xml:space="preserve">Tungsten  </v>
      </c>
      <c r="B32" s="83">
        <f>IF(AND($B$17="Yes",$B$22="Yes"),Declaration!D47,0)</f>
        <v>0</v>
      </c>
      <c r="C32" s="83" t="str">
        <f ca="1">IF(H32=1,J32,I32)</f>
        <v>Complete</v>
      </c>
      <c r="D32" s="252" t="str">
        <f>IF(H32=1,"Click here to answer question 4 for Tungsten","")</f>
        <v/>
      </c>
      <c r="E32" s="18"/>
      <c r="F32" s="88">
        <f>F27</f>
        <v>0</v>
      </c>
      <c r="G32" s="66">
        <f>IF(B32=0,1,0)</f>
        <v>1</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103</v>
      </c>
      <c r="F33" s="87"/>
      <c r="J33" s="141"/>
    </row>
    <row r="34" spans="1:10" ht="51">
      <c r="A34" s="84" t="str">
        <f ca="1">Declaration!B50</f>
        <v xml:space="preserve">Tantalum  </v>
      </c>
      <c r="B34" s="83">
        <f>IF(AND($B$14="Yes",$B$19="Yes"),Declaration!D50,0)</f>
        <v>0</v>
      </c>
      <c r="C34" s="83" t="str">
        <f ca="1">IF(H34=1,J34,I34)</f>
        <v>Complete</v>
      </c>
      <c r="D34" s="252" t="str">
        <f>IF(H34=1,"Click here to answer question 5 for Tantalum","")</f>
        <v/>
      </c>
      <c r="E34" s="18" t="s">
        <v>103</v>
      </c>
      <c r="F34" s="88">
        <f>F24</f>
        <v>0</v>
      </c>
      <c r="G34" s="66">
        <f>IF(B34=0,1,0)</f>
        <v>1</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103</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 xml:space="preserve">Gold  </v>
      </c>
      <c r="B36" s="83">
        <f>IF(AND($B$16="Yes",$B$21="Yes"),Declaration!D52,0)</f>
        <v>0</v>
      </c>
      <c r="C36" s="83" t="str">
        <f ca="1">IF(H36=1,J36,I36)</f>
        <v>Complete</v>
      </c>
      <c r="D36" s="252" t="str">
        <f>IF(H36=1,"Click here to answer question 5 for Gold","")</f>
        <v/>
      </c>
      <c r="E36" s="18" t="s">
        <v>103</v>
      </c>
      <c r="F36" s="88">
        <f>F26</f>
        <v>0</v>
      </c>
      <c r="G36" s="66">
        <f>IF(B36=0,1,0)</f>
        <v>1</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51">
      <c r="A37" s="84" t="str">
        <f ca="1">Declaration!B53</f>
        <v xml:space="preserve">Tungsten  </v>
      </c>
      <c r="B37" s="83">
        <f>IF(AND($B$17="Yes",$B$22="Yes"),Declaration!D53,0)</f>
        <v>0</v>
      </c>
      <c r="C37" s="83" t="str">
        <f ca="1">IF(H37=1,J37,I37)</f>
        <v>Complete</v>
      </c>
      <c r="D37" s="252" t="str">
        <f>IF(H37=1,"Click here to answer question 5 for Tungsten","")</f>
        <v/>
      </c>
      <c r="E37" s="18" t="s">
        <v>103</v>
      </c>
      <c r="F37" s="88">
        <f>F27</f>
        <v>0</v>
      </c>
      <c r="G37" s="66">
        <f>IF(B37=0,1,0)</f>
        <v>1</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8.25">
      <c r="A38" s="83" t="str">
        <f ca="1">Declaration!B55</f>
        <v>6) What percentage of relevant suppliers have provided a response to your supply chain survey?  (*)</v>
      </c>
      <c r="B38" s="86"/>
      <c r="C38" s="86"/>
      <c r="D38" s="90"/>
      <c r="E38" s="18" t="s">
        <v>103</v>
      </c>
      <c r="F38" s="87"/>
    </row>
    <row r="39" spans="1:10" ht="26.25">
      <c r="A39" s="84" t="str">
        <f ca="1">Declaration!B56</f>
        <v xml:space="preserve">Tantalum  </v>
      </c>
      <c r="B39" s="259">
        <f>IF(AND($B$14="Yes",$B$19="Yes"),Declaration!D56,0)</f>
        <v>0</v>
      </c>
      <c r="C39" s="83" t="str">
        <f ca="1">IF(H39=1,J39,I39)</f>
        <v>Complete</v>
      </c>
      <c r="D39" s="253" t="str">
        <f>IF(H39=1,"Click here to answer question 6 for Tantalum","")</f>
        <v/>
      </c>
      <c r="E39" s="18" t="s">
        <v>100</v>
      </c>
      <c r="F39" s="88">
        <f>F24</f>
        <v>0</v>
      </c>
      <c r="G39" s="66">
        <f>IF(B39=0,1,0)</f>
        <v>1</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Tin  (*)</v>
      </c>
      <c r="B40" s="259" t="str">
        <f>IF(AND($B$15="Yes",$B$20="Yes"),Declaration!D57,0)</f>
        <v>Greater than 90%</v>
      </c>
      <c r="C40" s="83" t="str">
        <f ca="1">IF(H40=1,J40,I40)</f>
        <v>Complete</v>
      </c>
      <c r="D40" s="253" t="str">
        <f>IF(H40=1,"Click here to answer question 6 for Tin","")</f>
        <v/>
      </c>
      <c r="E40" s="18" t="s">
        <v>100</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 xml:space="preserve">Gold  </v>
      </c>
      <c r="B41" s="259">
        <f>IF(AND($B$16="Yes",$B$21="Yes"),Declaration!D58,0)</f>
        <v>0</v>
      </c>
      <c r="C41" s="83" t="str">
        <f ca="1">IF(H41=1,J41,I41)</f>
        <v>Complete</v>
      </c>
      <c r="D41" s="253" t="str">
        <f>IF(H41=1,"Click here to answer question 6 for Gold","")</f>
        <v/>
      </c>
      <c r="E41" s="18" t="s">
        <v>100</v>
      </c>
      <c r="F41" s="88">
        <f>F26</f>
        <v>0</v>
      </c>
      <c r="G41" s="66">
        <f>IF(B41=0,1,0)</f>
        <v>1</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 xml:space="preserve">Tungsten  </v>
      </c>
      <c r="B42" s="259">
        <f>IF(AND($B$17="Yes",$B$22="Yes"),Declaration!D59,0)</f>
        <v>0</v>
      </c>
      <c r="C42" s="83" t="str">
        <f ca="1">IF(H42=1,J42,I42)</f>
        <v>Complete</v>
      </c>
      <c r="D42" s="253" t="str">
        <f>IF(H42=1,"Click here to answer question 6 for Tungsten","")</f>
        <v/>
      </c>
      <c r="E42" s="18" t="s">
        <v>100</v>
      </c>
      <c r="F42" s="88">
        <f>F27</f>
        <v>0</v>
      </c>
      <c r="G42" s="66">
        <f>IF(B42=0,1,0)</f>
        <v>1</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1">
      <c r="A43" s="83" t="str">
        <f ca="1">Declaration!B61</f>
        <v>7) Have you identified all of the smelters supplying the 3TG to your supply chain?  (*)</v>
      </c>
      <c r="B43" s="86"/>
      <c r="C43" s="86"/>
      <c r="D43" s="90"/>
      <c r="E43" s="18" t="s">
        <v>99</v>
      </c>
      <c r="F43" s="87"/>
    </row>
    <row r="44" spans="1:10" ht="51.75">
      <c r="A44" s="84" t="str">
        <f ca="1">Declaration!B62</f>
        <v xml:space="preserve">Tantalum  </v>
      </c>
      <c r="B44" s="83">
        <f>IF(AND($B$14="Yes",$B$19="Yes"),Declaration!D62,0)</f>
        <v>0</v>
      </c>
      <c r="C44" s="83" t="str">
        <f ca="1">IF(H44=1,J44,I44)</f>
        <v>Complete</v>
      </c>
      <c r="D44" s="252" t="str">
        <f>IF(H44=1,"Click here to answer question 7 for Tantalum","")</f>
        <v/>
      </c>
      <c r="E44" s="18" t="s">
        <v>99</v>
      </c>
      <c r="F44" s="88">
        <f>F24</f>
        <v>0</v>
      </c>
      <c r="G44" s="66">
        <f>IF(B44=0,1,0)</f>
        <v>1</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Tin  (*)</v>
      </c>
      <c r="B45" s="83" t="str">
        <f>IF(AND($B$15="Yes",$B$20="Yes"),Declaration!D63,0)</f>
        <v>Yes</v>
      </c>
      <c r="C45" s="83" t="str">
        <f ca="1">IF(H45=1,J45,I45)</f>
        <v>Complete</v>
      </c>
      <c r="D45" s="252" t="str">
        <f>IF(H45=1,"Click here to answer question 7 for Tin","")</f>
        <v/>
      </c>
      <c r="E45" s="18" t="s">
        <v>99</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 xml:space="preserve">Gold  </v>
      </c>
      <c r="B46" s="83">
        <f>IF(AND($B$16="Yes",$B$21="Yes"),Declaration!D64,0)</f>
        <v>0</v>
      </c>
      <c r="C46" s="83" t="str">
        <f ca="1">IF(H46=1,J46,I46)</f>
        <v>Complete</v>
      </c>
      <c r="D46" s="252" t="str">
        <f>IF(H46=1,"Click here to answer question 7 for Gold","")</f>
        <v/>
      </c>
      <c r="E46" s="18" t="s">
        <v>99</v>
      </c>
      <c r="F46" s="88">
        <f>F26</f>
        <v>0</v>
      </c>
      <c r="G46" s="66">
        <f>IF(B46=0,1,0)</f>
        <v>1</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 xml:space="preserve">Tungsten  </v>
      </c>
      <c r="B47" s="83">
        <f>IF(AND($B$17="Yes",$B$22="Yes"),Declaration!D65,0)</f>
        <v>0</v>
      </c>
      <c r="C47" s="83" t="str">
        <f ca="1">IF(H47=1,J47,I47)</f>
        <v>Complete</v>
      </c>
      <c r="D47" s="252" t="str">
        <f>IF(H47=1,"Click here to answer question 7 for Tungsten","")</f>
        <v/>
      </c>
      <c r="E47" s="18" t="s">
        <v>99</v>
      </c>
      <c r="F47" s="88">
        <f>F27</f>
        <v>0</v>
      </c>
      <c r="G47" s="66">
        <f>IF(B47=0,1,0)</f>
        <v>1</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3" t="str">
        <f ca="1">Declaration!B67</f>
        <v>8) Has all applicable smelter information received by your company been reported in this declaration?  (*)</v>
      </c>
      <c r="B48" s="86"/>
      <c r="C48" s="86"/>
      <c r="D48" s="90"/>
      <c r="E48" s="18" t="s">
        <v>105</v>
      </c>
      <c r="F48" s="87"/>
    </row>
    <row r="49" spans="1:10" ht="39">
      <c r="A49" s="84" t="str">
        <f ca="1">Declaration!B68</f>
        <v xml:space="preserve">Tantalum  </v>
      </c>
      <c r="B49" s="83">
        <f>IF(AND($B$14="Yes",$B$19="Yes"),Declaration!D68,0)</f>
        <v>0</v>
      </c>
      <c r="C49" s="83" t="str">
        <f ca="1">IF(H49=1,J49,I49)</f>
        <v>Complete</v>
      </c>
      <c r="D49" s="253" t="str">
        <f>IF(H49=1,"Click here to answer question 8 for Tantalum","")</f>
        <v/>
      </c>
      <c r="E49" s="18" t="s">
        <v>103</v>
      </c>
      <c r="F49" s="88">
        <f>F24</f>
        <v>0</v>
      </c>
      <c r="G49" s="66">
        <f>IF(B49=0,1,0)</f>
        <v>1</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103</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 xml:space="preserve">Gold  </v>
      </c>
      <c r="B51" s="83">
        <f>IF(AND($B$16="Yes",$B$21="Yes"),Declaration!D70,0)</f>
        <v>0</v>
      </c>
      <c r="C51" s="83" t="str">
        <f ca="1">IF(H51=1,J51,I51)</f>
        <v>Complete</v>
      </c>
      <c r="D51" s="253" t="str">
        <f>IF(H51=1,"Click here to answer question 8 for Gold","")</f>
        <v/>
      </c>
      <c r="E51" s="18" t="s">
        <v>103</v>
      </c>
      <c r="F51" s="88">
        <f>F26</f>
        <v>0</v>
      </c>
      <c r="G51" s="66">
        <f>IF(B51=0,1,0)</f>
        <v>1</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 xml:space="preserve">Tungsten  </v>
      </c>
      <c r="B52" s="83">
        <f>IF(AND($B$17="Yes",$B$22="Yes"),Declaration!D71,0)</f>
        <v>0</v>
      </c>
      <c r="C52" s="83" t="str">
        <f ca="1">IF(H52=1,J52,I52)</f>
        <v>Complete</v>
      </c>
      <c r="D52" s="253" t="str">
        <f>IF(H52=1,"Click here to answer question 8 for Tungsten","")</f>
        <v/>
      </c>
      <c r="E52" s="18" t="s">
        <v>103</v>
      </c>
      <c r="F52" s="88">
        <f>F27</f>
        <v>0</v>
      </c>
      <c r="G52" s="66">
        <f>IF(B52=0,1,0)</f>
        <v>1</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5">
      <c r="A53" s="83" t="str">
        <f ca="1">Declaration!B74</f>
        <v>Question</v>
      </c>
      <c r="B53" s="86"/>
      <c r="C53" s="86"/>
      <c r="D53" s="90"/>
      <c r="E53" s="18" t="s">
        <v>100</v>
      </c>
      <c r="F53" s="87"/>
      <c r="G53" s="87"/>
      <c r="H53" s="87"/>
    </row>
    <row r="54" spans="1:10" ht="39">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103</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103</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65" customHeight="1">
      <c r="A56" s="83" t="s">
        <v>146</v>
      </c>
      <c r="B56" s="83" t="str">
        <f>Declaration!G77</f>
        <v>https://durafintube.com/downloads/</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63.75">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10"/>
        <v>Complete</v>
      </c>
      <c r="D57" s="89" t="str">
        <f>IF(H57=1,"Click here to answer question (C)","")</f>
        <v/>
      </c>
      <c r="E57" s="18" t="s">
        <v>103</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103</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103</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103</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3"/>
      <c r="B61" s="83"/>
      <c r="C61" s="83"/>
      <c r="D61" s="89"/>
      <c r="E61" s="18"/>
      <c r="F61" s="88"/>
      <c r="G61" s="66"/>
      <c r="H61" s="67"/>
      <c r="I61" s="140"/>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103</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No</v>
      </c>
      <c r="C63" s="83" t="str">
        <f t="shared" ca="1" si="13"/>
        <v>Complete</v>
      </c>
      <c r="D63" s="89" t="str">
        <f>IF(H63=1,"Click here to answer question (H)","")</f>
        <v/>
      </c>
      <c r="E63" s="18" t="s">
        <v>103</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147</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103</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148</v>
      </c>
      <c r="B65" s="83"/>
      <c r="C65" s="83" t="str">
        <f t="shared" ca="1" si="13"/>
        <v>Complete</v>
      </c>
      <c r="D65" s="89" t="str">
        <f>IF(H65=0,"","Click here to provide smelter information")</f>
        <v/>
      </c>
      <c r="E65" s="18" t="s">
        <v>103</v>
      </c>
      <c r="F65" s="88">
        <f>F24</f>
        <v>0</v>
      </c>
      <c r="G65" s="66">
        <f>IF(AND(COUNTIF(SmelterIdetifiedForMetal,"Tantalum")&gt;0,COUNTIF('Smelter List'!AB$5:AB$2504,"Tantalum?*")&gt;0),0,1)</f>
        <v>1</v>
      </c>
      <c r="H65" s="67">
        <f t="shared"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149</v>
      </c>
      <c r="B66" s="83"/>
      <c r="C66" s="83" t="str">
        <f t="shared" ca="1" si="13"/>
        <v>Complete</v>
      </c>
      <c r="D66" s="89" t="str">
        <f>IF(H66=0,"","Click here to provide smelter information")</f>
        <v/>
      </c>
      <c r="E66" s="18" t="s">
        <v>103</v>
      </c>
      <c r="F66" s="88">
        <f>F25</f>
        <v>1</v>
      </c>
      <c r="G66" s="66">
        <f>IF(AND(COUNTIF(SmelterIdetifiedForMetal,"Tin")&gt;0,COUNTIF('Smelter List'!AB$5:AB$2504,"Tin?*")&gt;0),0,1)</f>
        <v>0</v>
      </c>
      <c r="H66" s="67">
        <f t="shared"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150</v>
      </c>
      <c r="B67" s="83"/>
      <c r="C67" s="83" t="str">
        <f t="shared" ca="1" si="13"/>
        <v>Complete</v>
      </c>
      <c r="D67" s="89" t="str">
        <f>IF(H67=0,"","Click here to provide smelter information")</f>
        <v/>
      </c>
      <c r="E67" s="18" t="s">
        <v>103</v>
      </c>
      <c r="F67" s="88">
        <f>F26</f>
        <v>0</v>
      </c>
      <c r="G67" s="66">
        <f>IF(AND(COUNTIF(SmelterIdetifiedForMetal,"Gold")&gt;0,COUNTIF('Smelter List'!AB$5:AB$2504,"Gold?*")&gt;0),0,1)</f>
        <v>1</v>
      </c>
      <c r="H67" s="67">
        <f t="shared"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151</v>
      </c>
      <c r="B68" s="83"/>
      <c r="C68" s="83" t="str">
        <f t="shared" ca="1" si="13"/>
        <v>Complete</v>
      </c>
      <c r="D68" s="89" t="str">
        <f>IF(H68=0,"","Click here to provide smelter information")</f>
        <v/>
      </c>
      <c r="E68" s="18" t="s">
        <v>103</v>
      </c>
      <c r="F68" s="88">
        <f>F27</f>
        <v>0</v>
      </c>
      <c r="G68" s="66">
        <f>IF(AND(COUNTIF(SmelterIdetifiedForMetal,"Tungsten")&gt;0,COUNTIF('Smelter List'!AB$5:AB$2504,"Tungsten?*")&gt;0),0,1)</f>
        <v>1</v>
      </c>
      <c r="H68" s="67">
        <f t="shared"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5">
      <c r="A69" s="155" t="s">
        <v>152</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153</v>
      </c>
      <c r="K69" s="147"/>
      <c r="L69" s="17" t="s">
        <v>154</v>
      </c>
    </row>
    <row r="70" spans="1:12">
      <c r="H70" s="17">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67" customWidth="1"/>
    <col min="2" max="2" width="39.875" style="270" customWidth="1"/>
    <col min="3" max="3" width="39.875" style="267" customWidth="1"/>
    <col min="4" max="4" width="58.875" style="267" customWidth="1"/>
    <col min="5" max="5" width="1.625" style="267" customWidth="1"/>
    <col min="6" max="6" width="9" style="267" customWidth="1"/>
    <col min="7" max="16384" width="8.875" style="268"/>
  </cols>
  <sheetData>
    <row r="1" spans="1:6" s="19" customFormat="1" ht="35.1" customHeight="1" thickTop="1">
      <c r="A1" s="394" t="str">
        <f ca="1">OFFSET(L!$C$1,MATCH("Product List"&amp;ADDRESS(ROW(),COLUMN(),4),L!$A:$A,0)-1,SL,,)</f>
        <v>Completion required only if reporting level "Product (or List of Products)" selected on the 'Declaration' worksheet.</v>
      </c>
      <c r="B1" s="395"/>
      <c r="C1" s="395"/>
      <c r="D1" s="395"/>
      <c r="E1" s="112"/>
      <c r="F1"/>
    </row>
    <row r="2" spans="1:6" s="19" customFormat="1">
      <c r="A2" s="21"/>
      <c r="B2" s="114"/>
      <c r="C2" s="114"/>
      <c r="D2"/>
      <c r="E2" s="22"/>
      <c r="F2"/>
    </row>
    <row r="3" spans="1:6" s="19" customFormat="1">
      <c r="A3" s="21"/>
      <c r="B3" s="114"/>
      <c r="C3" s="114"/>
      <c r="D3" s="114"/>
      <c r="E3" s="22"/>
      <c r="F3"/>
    </row>
    <row r="4" spans="1:6" s="19" customFormat="1" ht="15.75" customHeight="1">
      <c r="A4" s="21"/>
      <c r="B4" s="393" t="s">
        <v>140</v>
      </c>
      <c r="C4" s="393"/>
      <c r="D4" s="393"/>
      <c r="E4" s="22"/>
      <c r="F4"/>
    </row>
    <row r="5" spans="1:6" s="19" customFormat="1" ht="15.75">
      <c r="A5" s="125"/>
      <c r="B5" s="126" t="str">
        <f ca="1">OFFSET(L!$C$1,MATCH("Product List"&amp;ADDRESS(ROW(),COLUMN(),4),L!$A:$A,0)-1,SL,,)</f>
        <v>Manufacturer’s Product Number (*)</v>
      </c>
      <c r="C5" s="126" t="str">
        <f ca="1">OFFSET(L!$C$1,MATCH("Product List"&amp;ADDRESS(ROW(),COLUMN(),4),L!$A:$A,0)-1,SL,,)</f>
        <v>Manufacturer’s Product Name</v>
      </c>
      <c r="D5" s="287" t="str">
        <f ca="1">OFFSET(L!$C$1,MATCH("Product List"&amp;ADDRESS(ROW(),COLUMN(),4),L!$A:$A,0)-1,SL,,)</f>
        <v>Comments</v>
      </c>
      <c r="E5" s="22"/>
      <c r="F5"/>
    </row>
    <row r="6" spans="1:6" ht="15.75">
      <c r="A6" s="122"/>
      <c r="B6" s="289"/>
      <c r="C6" s="92"/>
      <c r="D6" s="92"/>
      <c r="E6" s="266"/>
    </row>
    <row r="7" spans="1:6" ht="15.75">
      <c r="A7" s="123"/>
      <c r="B7" s="289"/>
      <c r="C7" s="92"/>
      <c r="D7" s="92"/>
      <c r="E7" s="266"/>
    </row>
    <row r="8" spans="1:6" ht="15.75">
      <c r="A8" s="123"/>
      <c r="B8" s="289"/>
      <c r="C8" s="92"/>
      <c r="D8" s="92"/>
      <c r="E8" s="266"/>
    </row>
    <row r="9" spans="1:6" ht="15.75">
      <c r="A9" s="123"/>
      <c r="B9" s="289"/>
      <c r="C9" s="92"/>
      <c r="D9" s="92"/>
      <c r="E9" s="266"/>
    </row>
    <row r="10" spans="1:6" ht="15.75">
      <c r="A10" s="123"/>
      <c r="B10" s="289"/>
      <c r="C10" s="92"/>
      <c r="D10" s="92"/>
      <c r="E10" s="266"/>
    </row>
    <row r="11" spans="1:6" ht="15.75">
      <c r="A11" s="123"/>
      <c r="B11" s="289"/>
      <c r="C11" s="92"/>
      <c r="D11" s="92"/>
      <c r="E11" s="266"/>
    </row>
    <row r="12" spans="1:6" ht="15.75">
      <c r="A12" s="123"/>
      <c r="B12" s="289"/>
      <c r="C12" s="92"/>
      <c r="D12" s="92"/>
      <c r="E12" s="266"/>
    </row>
    <row r="13" spans="1:6" ht="15.75">
      <c r="A13" s="123"/>
      <c r="B13" s="289"/>
      <c r="C13" s="92"/>
      <c r="D13" s="92"/>
      <c r="E13" s="266"/>
    </row>
    <row r="14" spans="1:6" ht="15.75">
      <c r="A14" s="123"/>
      <c r="B14" s="289"/>
      <c r="C14" s="92"/>
      <c r="D14" s="92"/>
      <c r="E14" s="266"/>
    </row>
    <row r="15" spans="1:6" ht="15.75">
      <c r="A15" s="123"/>
      <c r="B15" s="289"/>
      <c r="C15" s="92"/>
      <c r="D15" s="92"/>
      <c r="E15" s="266"/>
    </row>
    <row r="16" spans="1:6" ht="15.75">
      <c r="A16" s="123"/>
      <c r="B16" s="289"/>
      <c r="C16" s="92"/>
      <c r="D16" s="92"/>
      <c r="E16" s="266"/>
    </row>
    <row r="17" spans="1:5" ht="15.75">
      <c r="A17" s="123"/>
      <c r="B17" s="289"/>
      <c r="C17" s="92"/>
      <c r="D17" s="92"/>
      <c r="E17" s="266"/>
    </row>
    <row r="18" spans="1:5" ht="15.75">
      <c r="A18" s="123"/>
      <c r="B18" s="289"/>
      <c r="C18" s="92"/>
      <c r="D18" s="92"/>
      <c r="E18" s="266"/>
    </row>
    <row r="19" spans="1:5" ht="15.75">
      <c r="A19" s="123"/>
      <c r="B19" s="289"/>
      <c r="C19" s="92"/>
      <c r="D19" s="92"/>
      <c r="E19" s="266"/>
    </row>
    <row r="20" spans="1:5" ht="15.75">
      <c r="A20" s="123"/>
      <c r="B20" s="289"/>
      <c r="C20" s="92"/>
      <c r="D20" s="92"/>
      <c r="E20" s="266"/>
    </row>
    <row r="21" spans="1:5" ht="15.75">
      <c r="A21" s="123"/>
      <c r="B21" s="289"/>
      <c r="C21" s="92"/>
      <c r="D21" s="92"/>
      <c r="E21" s="266"/>
    </row>
    <row r="22" spans="1:5" ht="15.75">
      <c r="A22" s="123"/>
      <c r="B22" s="289"/>
      <c r="C22" s="92"/>
      <c r="D22" s="92"/>
      <c r="E22" s="266"/>
    </row>
    <row r="23" spans="1:5" ht="15.75">
      <c r="A23" s="123"/>
      <c r="B23" s="289"/>
      <c r="C23" s="92"/>
      <c r="D23" s="92"/>
      <c r="E23" s="266"/>
    </row>
    <row r="24" spans="1:5" ht="15.75">
      <c r="A24" s="123"/>
      <c r="B24" s="289"/>
      <c r="C24" s="92"/>
      <c r="D24" s="92"/>
      <c r="E24" s="266"/>
    </row>
    <row r="25" spans="1:5" ht="15.75">
      <c r="A25" s="123"/>
      <c r="B25" s="289"/>
      <c r="C25" s="92"/>
      <c r="D25" s="92"/>
      <c r="E25" s="266"/>
    </row>
    <row r="26" spans="1:5" ht="15.75">
      <c r="A26" s="123"/>
      <c r="B26" s="289"/>
      <c r="C26" s="92"/>
      <c r="D26" s="92"/>
      <c r="E26" s="266"/>
    </row>
    <row r="27" spans="1:5" ht="15.75">
      <c r="A27" s="123"/>
      <c r="B27" s="289"/>
      <c r="C27" s="92"/>
      <c r="D27" s="92"/>
      <c r="E27" s="266"/>
    </row>
    <row r="28" spans="1:5" ht="15.75">
      <c r="A28" s="123"/>
      <c r="B28" s="289"/>
      <c r="C28" s="92"/>
      <c r="D28" s="92"/>
      <c r="E28" s="266"/>
    </row>
    <row r="29" spans="1:5" ht="15.75">
      <c r="A29" s="123"/>
      <c r="B29" s="289"/>
      <c r="C29" s="92"/>
      <c r="D29" s="92"/>
      <c r="E29" s="266"/>
    </row>
    <row r="30" spans="1:5" ht="15.75">
      <c r="A30" s="123"/>
      <c r="B30" s="289"/>
      <c r="C30" s="92"/>
      <c r="D30" s="92"/>
      <c r="E30" s="266"/>
    </row>
    <row r="31" spans="1:5" ht="15.75">
      <c r="A31" s="123"/>
      <c r="B31" s="289"/>
      <c r="C31" s="92"/>
      <c r="D31" s="92"/>
      <c r="E31" s="266"/>
    </row>
    <row r="32" spans="1:5" ht="15.75">
      <c r="A32" s="123"/>
      <c r="B32" s="289"/>
      <c r="C32" s="92"/>
      <c r="D32" s="92"/>
      <c r="E32" s="266"/>
    </row>
    <row r="33" spans="1:5" ht="15.75">
      <c r="A33" s="123"/>
      <c r="B33" s="289"/>
      <c r="C33" s="92"/>
      <c r="D33" s="92"/>
      <c r="E33" s="266"/>
    </row>
    <row r="34" spans="1:5" ht="15.75">
      <c r="A34" s="123"/>
      <c r="B34" s="289"/>
      <c r="C34" s="92"/>
      <c r="D34" s="92"/>
      <c r="E34" s="266"/>
    </row>
    <row r="35" spans="1:5" ht="15.75">
      <c r="A35" s="123"/>
      <c r="B35" s="289"/>
      <c r="C35" s="92"/>
      <c r="D35" s="92"/>
      <c r="E35" s="266"/>
    </row>
    <row r="36" spans="1:5" ht="15.75">
      <c r="A36" s="123"/>
      <c r="B36" s="289"/>
      <c r="C36" s="92"/>
      <c r="D36" s="92"/>
      <c r="E36" s="266"/>
    </row>
    <row r="37" spans="1:5" ht="15.75">
      <c r="A37" s="123"/>
      <c r="B37" s="289"/>
      <c r="C37" s="92"/>
      <c r="D37" s="92"/>
      <c r="E37" s="266"/>
    </row>
    <row r="38" spans="1:5" ht="15.75">
      <c r="A38" s="123"/>
      <c r="B38" s="289"/>
      <c r="C38" s="92"/>
      <c r="D38" s="92"/>
      <c r="E38" s="266"/>
    </row>
    <row r="39" spans="1:5" ht="15.75">
      <c r="A39" s="123"/>
      <c r="B39" s="289"/>
      <c r="C39" s="92"/>
      <c r="D39" s="92"/>
      <c r="E39" s="266"/>
    </row>
    <row r="40" spans="1:5" ht="15.75">
      <c r="A40" s="123"/>
      <c r="B40" s="289"/>
      <c r="C40" s="92"/>
      <c r="D40" s="92"/>
      <c r="E40" s="266"/>
    </row>
    <row r="41" spans="1:5" ht="15.75">
      <c r="A41" s="123"/>
      <c r="B41" s="289"/>
      <c r="C41" s="92"/>
      <c r="D41" s="92"/>
      <c r="E41" s="266"/>
    </row>
    <row r="42" spans="1:5" ht="15.75">
      <c r="A42" s="123"/>
      <c r="B42" s="289"/>
      <c r="C42" s="92"/>
      <c r="D42" s="92"/>
      <c r="E42" s="266"/>
    </row>
    <row r="43" spans="1:5" ht="15.75">
      <c r="A43" s="123"/>
      <c r="B43" s="289"/>
      <c r="C43" s="92"/>
      <c r="D43" s="92"/>
      <c r="E43" s="266"/>
    </row>
    <row r="44" spans="1:5" ht="15.75">
      <c r="A44" s="123"/>
      <c r="B44" s="289"/>
      <c r="C44" s="92"/>
      <c r="D44" s="92"/>
      <c r="E44" s="266"/>
    </row>
    <row r="45" spans="1:5" ht="15.75">
      <c r="A45" s="123"/>
      <c r="B45" s="289"/>
      <c r="C45" s="92"/>
      <c r="D45" s="92"/>
      <c r="E45" s="266"/>
    </row>
    <row r="46" spans="1:5" ht="15.75">
      <c r="A46" s="123"/>
      <c r="B46" s="289"/>
      <c r="C46" s="92"/>
      <c r="D46" s="92"/>
      <c r="E46" s="266"/>
    </row>
    <row r="47" spans="1:5" ht="15.75">
      <c r="A47" s="123"/>
      <c r="B47" s="289"/>
      <c r="C47" s="92"/>
      <c r="D47" s="92"/>
      <c r="E47" s="266"/>
    </row>
    <row r="48" spans="1:5" ht="15.75">
      <c r="A48" s="123"/>
      <c r="B48" s="289"/>
      <c r="C48" s="92"/>
      <c r="D48" s="92"/>
      <c r="E48" s="266"/>
    </row>
    <row r="49" spans="1:5" ht="15.75">
      <c r="A49" s="123"/>
      <c r="B49" s="289"/>
      <c r="C49" s="92"/>
      <c r="D49" s="92"/>
      <c r="E49" s="266"/>
    </row>
    <row r="50" spans="1:5" ht="15.75">
      <c r="A50" s="123"/>
      <c r="B50" s="289"/>
      <c r="C50" s="92"/>
      <c r="D50" s="92"/>
      <c r="E50" s="266"/>
    </row>
    <row r="51" spans="1:5" ht="15.75">
      <c r="A51" s="123"/>
      <c r="B51" s="289"/>
      <c r="C51" s="92"/>
      <c r="D51" s="92"/>
      <c r="E51" s="266"/>
    </row>
    <row r="52" spans="1:5" ht="15.75">
      <c r="A52" s="123"/>
      <c r="B52" s="289"/>
      <c r="C52" s="92"/>
      <c r="D52" s="92"/>
      <c r="E52" s="266"/>
    </row>
    <row r="53" spans="1:5" ht="15.75">
      <c r="A53" s="123"/>
      <c r="B53" s="289"/>
      <c r="C53" s="92"/>
      <c r="D53" s="92"/>
      <c r="E53" s="266"/>
    </row>
    <row r="54" spans="1:5" ht="15.75">
      <c r="A54" s="123"/>
      <c r="B54" s="289"/>
      <c r="C54" s="92"/>
      <c r="D54" s="92"/>
      <c r="E54" s="266"/>
    </row>
    <row r="55" spans="1:5" ht="15.75">
      <c r="A55" s="123"/>
      <c r="B55" s="289"/>
      <c r="C55" s="92"/>
      <c r="D55" s="92"/>
      <c r="E55" s="266"/>
    </row>
    <row r="56" spans="1:5" ht="15.75">
      <c r="A56" s="123"/>
      <c r="B56" s="289"/>
      <c r="C56" s="92"/>
      <c r="D56" s="92"/>
      <c r="E56" s="266"/>
    </row>
    <row r="57" spans="1:5" ht="15.75">
      <c r="A57" s="123"/>
      <c r="B57" s="289"/>
      <c r="C57" s="92"/>
      <c r="D57" s="92"/>
      <c r="E57" s="266"/>
    </row>
    <row r="58" spans="1:5" ht="15.75">
      <c r="A58" s="123"/>
      <c r="B58" s="289"/>
      <c r="C58" s="92"/>
      <c r="D58" s="92"/>
      <c r="E58" s="266"/>
    </row>
    <row r="59" spans="1:5" ht="15.75">
      <c r="A59" s="123"/>
      <c r="B59" s="289"/>
      <c r="C59" s="92"/>
      <c r="D59" s="92"/>
      <c r="E59" s="266"/>
    </row>
    <row r="60" spans="1:5" ht="15.75">
      <c r="A60" s="123"/>
      <c r="B60" s="289"/>
      <c r="C60" s="92"/>
      <c r="D60" s="92"/>
      <c r="E60" s="266"/>
    </row>
    <row r="61" spans="1:5" ht="15.75">
      <c r="A61" s="123"/>
      <c r="B61" s="289"/>
      <c r="C61" s="92"/>
      <c r="D61" s="92"/>
      <c r="E61" s="266"/>
    </row>
    <row r="62" spans="1:5" ht="15.75">
      <c r="A62" s="123"/>
      <c r="B62" s="289"/>
      <c r="C62" s="92"/>
      <c r="D62" s="92"/>
      <c r="E62" s="266"/>
    </row>
    <row r="63" spans="1:5" ht="15.75">
      <c r="A63" s="123"/>
      <c r="B63" s="289"/>
      <c r="C63" s="92"/>
      <c r="D63" s="92"/>
      <c r="E63" s="266"/>
    </row>
    <row r="64" spans="1:5" ht="15.75">
      <c r="A64" s="123"/>
      <c r="B64" s="289"/>
      <c r="C64" s="92"/>
      <c r="D64" s="92"/>
      <c r="E64" s="266"/>
    </row>
    <row r="65" spans="1:5" ht="15.75">
      <c r="A65" s="123"/>
      <c r="B65" s="289"/>
      <c r="C65" s="92"/>
      <c r="D65" s="92"/>
      <c r="E65" s="266"/>
    </row>
    <row r="66" spans="1:5" ht="15.75">
      <c r="A66" s="123"/>
      <c r="B66" s="289"/>
      <c r="C66" s="92"/>
      <c r="D66" s="92"/>
      <c r="E66" s="266"/>
    </row>
    <row r="67" spans="1:5" ht="15.75">
      <c r="A67" s="123"/>
      <c r="B67" s="289"/>
      <c r="C67" s="92"/>
      <c r="D67" s="92"/>
      <c r="E67" s="266"/>
    </row>
    <row r="68" spans="1:5" ht="15.75">
      <c r="A68" s="123"/>
      <c r="B68" s="289"/>
      <c r="C68" s="92"/>
      <c r="D68" s="92"/>
      <c r="E68" s="266"/>
    </row>
    <row r="69" spans="1:5" ht="15.75">
      <c r="A69" s="123"/>
      <c r="B69" s="289"/>
      <c r="C69" s="92"/>
      <c r="D69" s="92"/>
      <c r="E69" s="266"/>
    </row>
    <row r="70" spans="1:5" ht="15.75">
      <c r="A70" s="123"/>
      <c r="B70" s="289"/>
      <c r="C70" s="92"/>
      <c r="D70" s="92"/>
      <c r="E70" s="266"/>
    </row>
    <row r="71" spans="1:5" ht="15.75">
      <c r="A71" s="123"/>
      <c r="B71" s="289"/>
      <c r="C71" s="92"/>
      <c r="D71" s="92"/>
      <c r="E71" s="266"/>
    </row>
    <row r="72" spans="1:5" ht="15.75">
      <c r="A72" s="123"/>
      <c r="B72" s="289"/>
      <c r="C72" s="92"/>
      <c r="D72" s="92"/>
      <c r="E72" s="266"/>
    </row>
    <row r="73" spans="1:5" ht="15.75">
      <c r="A73" s="123"/>
      <c r="B73" s="289"/>
      <c r="C73" s="92"/>
      <c r="D73" s="92"/>
      <c r="E73" s="266"/>
    </row>
    <row r="74" spans="1:5" ht="15.75">
      <c r="A74" s="123"/>
      <c r="B74" s="289"/>
      <c r="C74" s="92"/>
      <c r="D74" s="92"/>
      <c r="E74" s="266"/>
    </row>
    <row r="75" spans="1:5" ht="15.75">
      <c r="A75" s="123"/>
      <c r="B75" s="289"/>
      <c r="C75" s="92"/>
      <c r="D75" s="92"/>
      <c r="E75" s="266"/>
    </row>
    <row r="76" spans="1:5" ht="15.75">
      <c r="A76" s="123"/>
      <c r="B76" s="289"/>
      <c r="C76" s="92"/>
      <c r="D76" s="92"/>
      <c r="E76" s="266"/>
    </row>
    <row r="77" spans="1:5" ht="15.75">
      <c r="A77" s="123"/>
      <c r="B77" s="289"/>
      <c r="C77" s="92"/>
      <c r="D77" s="92"/>
      <c r="E77" s="266"/>
    </row>
    <row r="78" spans="1:5" ht="15.75">
      <c r="A78" s="123"/>
      <c r="B78" s="289"/>
      <c r="C78" s="92"/>
      <c r="D78" s="92"/>
      <c r="E78" s="266"/>
    </row>
    <row r="79" spans="1:5" ht="15.75">
      <c r="A79" s="123"/>
      <c r="B79" s="289"/>
      <c r="C79" s="92"/>
      <c r="D79" s="92"/>
      <c r="E79" s="266"/>
    </row>
    <row r="80" spans="1:5" ht="15.75">
      <c r="A80" s="123"/>
      <c r="B80" s="289"/>
      <c r="C80" s="92"/>
      <c r="D80" s="92"/>
      <c r="E80" s="266"/>
    </row>
    <row r="81" spans="1:5" ht="15.75">
      <c r="A81" s="123"/>
      <c r="B81" s="289"/>
      <c r="C81" s="92"/>
      <c r="D81" s="92"/>
      <c r="E81" s="266"/>
    </row>
    <row r="82" spans="1:5" ht="15.75">
      <c r="A82" s="123"/>
      <c r="B82" s="289"/>
      <c r="C82" s="92"/>
      <c r="D82" s="92"/>
      <c r="E82" s="266"/>
    </row>
    <row r="83" spans="1:5" ht="15.75">
      <c r="A83" s="123"/>
      <c r="B83" s="289"/>
      <c r="C83" s="92"/>
      <c r="D83" s="92"/>
      <c r="E83" s="266"/>
    </row>
    <row r="84" spans="1:5" ht="15.75">
      <c r="A84" s="123"/>
      <c r="B84" s="289"/>
      <c r="C84" s="92"/>
      <c r="D84" s="92"/>
      <c r="E84" s="266"/>
    </row>
    <row r="85" spans="1:5" ht="15.75">
      <c r="A85" s="123"/>
      <c r="B85" s="289"/>
      <c r="C85" s="92"/>
      <c r="D85" s="92"/>
      <c r="E85" s="266"/>
    </row>
    <row r="86" spans="1:5" ht="15.75">
      <c r="A86" s="123"/>
      <c r="B86" s="289"/>
      <c r="C86" s="92"/>
      <c r="D86" s="92"/>
      <c r="E86" s="266"/>
    </row>
    <row r="87" spans="1:5" ht="15.75">
      <c r="A87" s="123"/>
      <c r="B87" s="289"/>
      <c r="C87" s="92"/>
      <c r="D87" s="92"/>
      <c r="E87" s="266"/>
    </row>
    <row r="88" spans="1:5" ht="15.75">
      <c r="A88" s="123"/>
      <c r="B88" s="289"/>
      <c r="C88" s="92"/>
      <c r="D88" s="92"/>
      <c r="E88" s="266"/>
    </row>
    <row r="89" spans="1:5" ht="15.75">
      <c r="A89" s="123"/>
      <c r="B89" s="289"/>
      <c r="C89" s="92"/>
      <c r="D89" s="92"/>
      <c r="E89" s="266"/>
    </row>
    <row r="90" spans="1:5" ht="15.75">
      <c r="A90" s="123"/>
      <c r="B90" s="289"/>
      <c r="C90" s="92"/>
      <c r="D90" s="92"/>
      <c r="E90" s="266"/>
    </row>
    <row r="91" spans="1:5" ht="15.75">
      <c r="A91" s="123"/>
      <c r="B91" s="289"/>
      <c r="C91" s="92"/>
      <c r="D91" s="92"/>
      <c r="E91" s="266"/>
    </row>
    <row r="92" spans="1:5" ht="15.75">
      <c r="A92" s="123"/>
      <c r="B92" s="289"/>
      <c r="C92" s="92"/>
      <c r="D92" s="92"/>
      <c r="E92" s="266"/>
    </row>
    <row r="93" spans="1:5" ht="15.75">
      <c r="A93" s="123"/>
      <c r="B93" s="289"/>
      <c r="C93" s="92"/>
      <c r="D93" s="92"/>
      <c r="E93" s="266"/>
    </row>
    <row r="94" spans="1:5" ht="15.75">
      <c r="A94" s="123"/>
      <c r="B94" s="289"/>
      <c r="C94" s="92"/>
      <c r="D94" s="92"/>
      <c r="E94" s="266"/>
    </row>
    <row r="95" spans="1:5" ht="15.75">
      <c r="A95" s="123"/>
      <c r="B95" s="289"/>
      <c r="C95" s="92"/>
      <c r="D95" s="92"/>
      <c r="E95" s="266"/>
    </row>
    <row r="96" spans="1:5" ht="15.75">
      <c r="A96" s="123"/>
      <c r="B96" s="289"/>
      <c r="C96" s="92"/>
      <c r="D96" s="92"/>
      <c r="E96" s="266"/>
    </row>
    <row r="97" spans="1:5" ht="15.75">
      <c r="A97" s="123"/>
      <c r="B97" s="289"/>
      <c r="C97" s="92"/>
      <c r="D97" s="92"/>
      <c r="E97" s="266"/>
    </row>
    <row r="98" spans="1:5" ht="15.75">
      <c r="A98" s="123"/>
      <c r="B98" s="289"/>
      <c r="C98" s="92"/>
      <c r="D98" s="92"/>
      <c r="E98" s="266"/>
    </row>
    <row r="99" spans="1:5" ht="15.75">
      <c r="A99" s="123"/>
      <c r="B99" s="289"/>
      <c r="C99" s="92"/>
      <c r="D99" s="92"/>
      <c r="E99" s="266"/>
    </row>
    <row r="100" spans="1:5" ht="15.75">
      <c r="A100" s="123"/>
      <c r="B100" s="289"/>
      <c r="C100" s="92"/>
      <c r="D100" s="92"/>
      <c r="E100" s="266"/>
    </row>
    <row r="101" spans="1:5" ht="15.75">
      <c r="A101" s="123"/>
      <c r="B101" s="289"/>
      <c r="C101" s="92"/>
      <c r="D101" s="92"/>
      <c r="E101" s="266"/>
    </row>
    <row r="102" spans="1:5" ht="15.75">
      <c r="A102" s="123"/>
      <c r="B102" s="289"/>
      <c r="C102" s="92"/>
      <c r="D102" s="92"/>
      <c r="E102" s="266"/>
    </row>
    <row r="103" spans="1:5" ht="15.75">
      <c r="A103" s="123"/>
      <c r="B103" s="289"/>
      <c r="C103" s="92"/>
      <c r="D103" s="92"/>
      <c r="E103" s="266"/>
    </row>
    <row r="104" spans="1:5" ht="15.75">
      <c r="A104" s="123"/>
      <c r="B104" s="289"/>
      <c r="C104" s="92"/>
      <c r="D104" s="92"/>
      <c r="E104" s="266"/>
    </row>
    <row r="105" spans="1:5" ht="15.75">
      <c r="A105" s="123"/>
      <c r="B105" s="289"/>
      <c r="C105" s="92"/>
      <c r="D105" s="92"/>
      <c r="E105" s="266"/>
    </row>
    <row r="106" spans="1:5" ht="15.75">
      <c r="A106" s="123"/>
      <c r="B106" s="289"/>
      <c r="C106" s="92"/>
      <c r="D106" s="92"/>
      <c r="E106" s="266"/>
    </row>
    <row r="107" spans="1:5" ht="15.75">
      <c r="A107" s="123"/>
      <c r="B107" s="289"/>
      <c r="C107" s="92"/>
      <c r="D107" s="92"/>
      <c r="E107" s="266"/>
    </row>
    <row r="108" spans="1:5" ht="15.75">
      <c r="A108" s="123"/>
      <c r="B108" s="289"/>
      <c r="C108" s="92"/>
      <c r="D108" s="92"/>
      <c r="E108" s="266"/>
    </row>
    <row r="109" spans="1:5" ht="15.75">
      <c r="A109" s="123"/>
      <c r="B109" s="289"/>
      <c r="C109" s="92"/>
      <c r="D109" s="92"/>
      <c r="E109" s="266"/>
    </row>
    <row r="110" spans="1:5" ht="15.75">
      <c r="A110" s="123"/>
      <c r="B110" s="289"/>
      <c r="C110" s="92"/>
      <c r="D110" s="92"/>
      <c r="E110" s="266"/>
    </row>
    <row r="111" spans="1:5" ht="15.75">
      <c r="A111" s="123"/>
      <c r="B111" s="289"/>
      <c r="C111" s="92"/>
      <c r="D111" s="92"/>
      <c r="E111" s="266"/>
    </row>
    <row r="112" spans="1:5" ht="15.75">
      <c r="A112" s="123"/>
      <c r="B112" s="289"/>
      <c r="C112" s="92"/>
      <c r="D112" s="92"/>
      <c r="E112" s="266"/>
    </row>
    <row r="113" spans="1:5" ht="15.75">
      <c r="A113" s="123"/>
      <c r="B113" s="289"/>
      <c r="C113" s="92"/>
      <c r="D113" s="92"/>
      <c r="E113" s="266"/>
    </row>
    <row r="114" spans="1:5" ht="15.75">
      <c r="A114" s="123"/>
      <c r="B114" s="289"/>
      <c r="C114" s="92"/>
      <c r="D114" s="92"/>
      <c r="E114" s="266"/>
    </row>
    <row r="115" spans="1:5" ht="15.75">
      <c r="A115" s="123"/>
      <c r="B115" s="289"/>
      <c r="C115" s="92"/>
      <c r="D115" s="92"/>
      <c r="E115" s="266"/>
    </row>
    <row r="116" spans="1:5" ht="15.75">
      <c r="A116" s="123"/>
      <c r="B116" s="289"/>
      <c r="C116" s="92"/>
      <c r="D116" s="92"/>
      <c r="E116" s="266"/>
    </row>
    <row r="117" spans="1:5" ht="15.75">
      <c r="A117" s="123"/>
      <c r="B117" s="289"/>
      <c r="C117" s="92"/>
      <c r="D117" s="92"/>
      <c r="E117" s="266"/>
    </row>
    <row r="118" spans="1:5" ht="15.75">
      <c r="A118" s="123"/>
      <c r="B118" s="289"/>
      <c r="C118" s="92"/>
      <c r="D118" s="92"/>
      <c r="E118" s="266"/>
    </row>
    <row r="119" spans="1:5" ht="15.75">
      <c r="A119" s="123"/>
      <c r="B119" s="289"/>
      <c r="C119" s="92"/>
      <c r="D119" s="92"/>
      <c r="E119" s="266"/>
    </row>
    <row r="120" spans="1:5" ht="15.75">
      <c r="A120" s="123"/>
      <c r="B120" s="289"/>
      <c r="C120" s="92"/>
      <c r="D120" s="92"/>
      <c r="E120" s="266"/>
    </row>
    <row r="121" spans="1:5" ht="15.75">
      <c r="A121" s="123"/>
      <c r="B121" s="289"/>
      <c r="C121" s="92"/>
      <c r="D121" s="92"/>
      <c r="E121" s="266"/>
    </row>
    <row r="122" spans="1:5" ht="15.75">
      <c r="A122" s="123"/>
      <c r="B122" s="289"/>
      <c r="C122" s="92"/>
      <c r="D122" s="92"/>
      <c r="E122" s="266"/>
    </row>
    <row r="123" spans="1:5" ht="15.75">
      <c r="A123" s="123"/>
      <c r="B123" s="289"/>
      <c r="C123" s="92"/>
      <c r="D123" s="92"/>
      <c r="E123" s="266"/>
    </row>
    <row r="124" spans="1:5" ht="15.75">
      <c r="A124" s="123"/>
      <c r="B124" s="289"/>
      <c r="C124" s="92"/>
      <c r="D124" s="92"/>
      <c r="E124" s="266"/>
    </row>
    <row r="125" spans="1:5" ht="15.75">
      <c r="A125" s="123"/>
      <c r="B125" s="289"/>
      <c r="C125" s="92"/>
      <c r="D125" s="92"/>
      <c r="E125" s="266"/>
    </row>
    <row r="126" spans="1:5" ht="15.75">
      <c r="A126" s="123"/>
      <c r="B126" s="289"/>
      <c r="C126" s="92"/>
      <c r="D126" s="92"/>
      <c r="E126" s="266"/>
    </row>
    <row r="127" spans="1:5" ht="15.75">
      <c r="A127" s="123"/>
      <c r="B127" s="289"/>
      <c r="C127" s="92"/>
      <c r="D127" s="92"/>
      <c r="E127" s="266"/>
    </row>
    <row r="128" spans="1:5" ht="15.75">
      <c r="A128" s="123"/>
      <c r="B128" s="289"/>
      <c r="C128" s="92"/>
      <c r="D128" s="92"/>
      <c r="E128" s="266"/>
    </row>
    <row r="129" spans="1:5" ht="15.75">
      <c r="A129" s="123"/>
      <c r="B129" s="289"/>
      <c r="C129" s="92"/>
      <c r="D129" s="92"/>
      <c r="E129" s="266"/>
    </row>
    <row r="130" spans="1:5" ht="15.75">
      <c r="A130" s="123"/>
      <c r="B130" s="289"/>
      <c r="C130" s="92"/>
      <c r="D130" s="92"/>
      <c r="E130" s="266"/>
    </row>
    <row r="131" spans="1:5" ht="15.75">
      <c r="A131" s="123"/>
      <c r="B131" s="289"/>
      <c r="C131" s="92"/>
      <c r="D131" s="92"/>
      <c r="E131" s="266"/>
    </row>
    <row r="132" spans="1:5" ht="15.75">
      <c r="A132" s="123"/>
      <c r="B132" s="289"/>
      <c r="C132" s="92"/>
      <c r="D132" s="92"/>
      <c r="E132" s="266"/>
    </row>
    <row r="133" spans="1:5" ht="15.75">
      <c r="A133" s="123"/>
      <c r="B133" s="289"/>
      <c r="C133" s="92"/>
      <c r="D133" s="92"/>
      <c r="E133" s="266"/>
    </row>
    <row r="134" spans="1:5" ht="15.75">
      <c r="A134" s="123"/>
      <c r="B134" s="289"/>
      <c r="C134" s="92"/>
      <c r="D134" s="92"/>
      <c r="E134" s="266"/>
    </row>
    <row r="135" spans="1:5" ht="15.75">
      <c r="A135" s="123"/>
      <c r="B135" s="289"/>
      <c r="C135" s="92"/>
      <c r="D135" s="92"/>
      <c r="E135" s="266"/>
    </row>
    <row r="136" spans="1:5" ht="15.75">
      <c r="A136" s="123"/>
      <c r="B136" s="289"/>
      <c r="C136" s="92"/>
      <c r="D136" s="92"/>
      <c r="E136" s="266"/>
    </row>
    <row r="137" spans="1:5" ht="15.75">
      <c r="A137" s="123"/>
      <c r="B137" s="289"/>
      <c r="C137" s="92"/>
      <c r="D137" s="92"/>
      <c r="E137" s="266"/>
    </row>
    <row r="138" spans="1:5" ht="15.75">
      <c r="A138" s="123"/>
      <c r="B138" s="289"/>
      <c r="C138" s="92"/>
      <c r="D138" s="92"/>
      <c r="E138" s="266"/>
    </row>
    <row r="139" spans="1:5" ht="15.75">
      <c r="A139" s="123"/>
      <c r="B139" s="289"/>
      <c r="C139" s="92"/>
      <c r="D139" s="92"/>
      <c r="E139" s="266"/>
    </row>
    <row r="140" spans="1:5" ht="15.75">
      <c r="A140" s="123"/>
      <c r="B140" s="289"/>
      <c r="C140" s="92"/>
      <c r="D140" s="92"/>
      <c r="E140" s="266"/>
    </row>
    <row r="141" spans="1:5" ht="15.75">
      <c r="A141" s="123"/>
      <c r="B141" s="289"/>
      <c r="C141" s="92"/>
      <c r="D141" s="92"/>
      <c r="E141" s="266"/>
    </row>
    <row r="142" spans="1:5" ht="15.75">
      <c r="A142" s="123"/>
      <c r="B142" s="289"/>
      <c r="C142" s="92"/>
      <c r="D142" s="92"/>
      <c r="E142" s="266"/>
    </row>
    <row r="143" spans="1:5" ht="15.75">
      <c r="A143" s="123"/>
      <c r="B143" s="289"/>
      <c r="C143" s="92"/>
      <c r="D143" s="92"/>
      <c r="E143" s="266"/>
    </row>
    <row r="144" spans="1:5" ht="15.75">
      <c r="A144" s="123"/>
      <c r="B144" s="289"/>
      <c r="C144" s="92"/>
      <c r="D144" s="92"/>
      <c r="E144" s="266"/>
    </row>
    <row r="145" spans="1:5" ht="15.75">
      <c r="A145" s="123"/>
      <c r="B145" s="289"/>
      <c r="C145" s="92"/>
      <c r="D145" s="92"/>
      <c r="E145" s="266"/>
    </row>
    <row r="146" spans="1:5" ht="15.75">
      <c r="A146" s="123"/>
      <c r="B146" s="289"/>
      <c r="C146" s="92"/>
      <c r="D146" s="92"/>
      <c r="E146" s="266"/>
    </row>
    <row r="147" spans="1:5" ht="15.75">
      <c r="A147" s="123"/>
      <c r="B147" s="289"/>
      <c r="C147" s="92"/>
      <c r="D147" s="92"/>
      <c r="E147" s="266"/>
    </row>
    <row r="148" spans="1:5" ht="15.75">
      <c r="A148" s="123"/>
      <c r="B148" s="289"/>
      <c r="C148" s="92"/>
      <c r="D148" s="92"/>
      <c r="E148" s="266"/>
    </row>
    <row r="149" spans="1:5" ht="15.75">
      <c r="A149" s="123"/>
      <c r="B149" s="289"/>
      <c r="C149" s="92"/>
      <c r="D149" s="92"/>
      <c r="E149" s="266"/>
    </row>
    <row r="150" spans="1:5" ht="15.75">
      <c r="A150" s="123"/>
      <c r="B150" s="289"/>
      <c r="C150" s="92"/>
      <c r="D150" s="92"/>
      <c r="E150" s="266"/>
    </row>
    <row r="151" spans="1:5" ht="15.75">
      <c r="A151" s="123"/>
      <c r="B151" s="289"/>
      <c r="C151" s="92"/>
      <c r="D151" s="92"/>
      <c r="E151" s="266"/>
    </row>
    <row r="152" spans="1:5" ht="15.75">
      <c r="A152" s="123"/>
      <c r="B152" s="289"/>
      <c r="C152" s="92"/>
      <c r="D152" s="92"/>
      <c r="E152" s="266"/>
    </row>
    <row r="153" spans="1:5" ht="15.75">
      <c r="A153" s="123"/>
      <c r="B153" s="289"/>
      <c r="C153" s="92"/>
      <c r="D153" s="92"/>
      <c r="E153" s="266"/>
    </row>
    <row r="154" spans="1:5" ht="15.75">
      <c r="A154" s="123"/>
      <c r="B154" s="289"/>
      <c r="C154" s="92"/>
      <c r="D154" s="92"/>
      <c r="E154" s="266"/>
    </row>
    <row r="155" spans="1:5" ht="15.75">
      <c r="A155" s="123"/>
      <c r="B155" s="289"/>
      <c r="C155" s="92"/>
      <c r="D155" s="92"/>
      <c r="E155" s="266"/>
    </row>
    <row r="156" spans="1:5" ht="15.75">
      <c r="A156" s="123"/>
      <c r="B156" s="289"/>
      <c r="C156" s="92"/>
      <c r="D156" s="92"/>
      <c r="E156" s="266"/>
    </row>
    <row r="157" spans="1:5" ht="15.75">
      <c r="A157" s="123"/>
      <c r="B157" s="289"/>
      <c r="C157" s="92"/>
      <c r="D157" s="92"/>
      <c r="E157" s="266"/>
    </row>
    <row r="158" spans="1:5" ht="15.75">
      <c r="A158" s="123"/>
      <c r="B158" s="289"/>
      <c r="C158" s="92"/>
      <c r="D158" s="92"/>
      <c r="E158" s="266"/>
    </row>
    <row r="159" spans="1:5" ht="15.75">
      <c r="A159" s="123"/>
      <c r="B159" s="289"/>
      <c r="C159" s="92"/>
      <c r="D159" s="92"/>
      <c r="E159" s="266"/>
    </row>
    <row r="160" spans="1:5" ht="15.75">
      <c r="A160" s="123"/>
      <c r="B160" s="289"/>
      <c r="C160" s="92"/>
      <c r="D160" s="92"/>
      <c r="E160" s="266"/>
    </row>
    <row r="161" spans="1:5" ht="15.75">
      <c r="A161" s="123"/>
      <c r="B161" s="289"/>
      <c r="C161" s="92"/>
      <c r="D161" s="92"/>
      <c r="E161" s="266"/>
    </row>
    <row r="162" spans="1:5" ht="15.75">
      <c r="A162" s="123"/>
      <c r="B162" s="289"/>
      <c r="C162" s="92"/>
      <c r="D162" s="92"/>
      <c r="E162" s="266"/>
    </row>
    <row r="163" spans="1:5" ht="15.75">
      <c r="A163" s="123"/>
      <c r="B163" s="289"/>
      <c r="C163" s="92"/>
      <c r="D163" s="92"/>
      <c r="E163" s="266"/>
    </row>
    <row r="164" spans="1:5" ht="15.75">
      <c r="A164" s="123"/>
      <c r="B164" s="289"/>
      <c r="C164" s="92"/>
      <c r="D164" s="92"/>
      <c r="E164" s="266"/>
    </row>
    <row r="165" spans="1:5" ht="15.75">
      <c r="A165" s="123"/>
      <c r="B165" s="289"/>
      <c r="C165" s="92"/>
      <c r="D165" s="92"/>
      <c r="E165" s="266"/>
    </row>
    <row r="166" spans="1:5" ht="15.75">
      <c r="A166" s="123"/>
      <c r="B166" s="289"/>
      <c r="C166" s="92"/>
      <c r="D166" s="92"/>
      <c r="E166" s="266"/>
    </row>
    <row r="167" spans="1:5" ht="15.75">
      <c r="A167" s="123"/>
      <c r="B167" s="289"/>
      <c r="C167" s="92"/>
      <c r="D167" s="92"/>
      <c r="E167" s="266"/>
    </row>
    <row r="168" spans="1:5" ht="15.75">
      <c r="A168" s="123"/>
      <c r="B168" s="289"/>
      <c r="C168" s="92"/>
      <c r="D168" s="92"/>
      <c r="E168" s="266"/>
    </row>
    <row r="169" spans="1:5" ht="15.75">
      <c r="A169" s="123"/>
      <c r="B169" s="289"/>
      <c r="C169" s="92"/>
      <c r="D169" s="92"/>
      <c r="E169" s="266"/>
    </row>
    <row r="170" spans="1:5" ht="15.75">
      <c r="A170" s="123"/>
      <c r="B170" s="289"/>
      <c r="C170" s="92"/>
      <c r="D170" s="92"/>
      <c r="E170" s="266"/>
    </row>
    <row r="171" spans="1:5" ht="15.75">
      <c r="A171" s="123"/>
      <c r="B171" s="289"/>
      <c r="C171" s="92"/>
      <c r="D171" s="92"/>
      <c r="E171" s="266"/>
    </row>
    <row r="172" spans="1:5" ht="15.75">
      <c r="A172" s="123"/>
      <c r="B172" s="289"/>
      <c r="C172" s="92"/>
      <c r="D172" s="92"/>
      <c r="E172" s="266"/>
    </row>
    <row r="173" spans="1:5" ht="15.75">
      <c r="A173" s="123"/>
      <c r="B173" s="289"/>
      <c r="C173" s="92"/>
      <c r="D173" s="92"/>
      <c r="E173" s="266"/>
    </row>
    <row r="174" spans="1:5" ht="15.75">
      <c r="A174" s="123"/>
      <c r="B174" s="289"/>
      <c r="C174" s="92"/>
      <c r="D174" s="92"/>
      <c r="E174" s="266"/>
    </row>
    <row r="175" spans="1:5" ht="15.75">
      <c r="A175" s="123"/>
      <c r="B175" s="289"/>
      <c r="C175" s="92"/>
      <c r="D175" s="92"/>
      <c r="E175" s="266"/>
    </row>
    <row r="176" spans="1:5" ht="15.75">
      <c r="A176" s="123"/>
      <c r="B176" s="289"/>
      <c r="C176" s="92"/>
      <c r="D176" s="92"/>
      <c r="E176" s="266"/>
    </row>
    <row r="177" spans="1:5" ht="15.75">
      <c r="A177" s="123"/>
      <c r="B177" s="289"/>
      <c r="C177" s="92"/>
      <c r="D177" s="92"/>
      <c r="E177" s="266"/>
    </row>
    <row r="178" spans="1:5" ht="15.75">
      <c r="A178" s="123"/>
      <c r="B178" s="289"/>
      <c r="C178" s="92"/>
      <c r="D178" s="92"/>
      <c r="E178" s="266"/>
    </row>
    <row r="179" spans="1:5" ht="15.75">
      <c r="A179" s="123"/>
      <c r="B179" s="289"/>
      <c r="C179" s="92"/>
      <c r="D179" s="92"/>
      <c r="E179" s="266"/>
    </row>
    <row r="180" spans="1:5" ht="15.75">
      <c r="A180" s="123"/>
      <c r="B180" s="289"/>
      <c r="C180" s="92"/>
      <c r="D180" s="92"/>
      <c r="E180" s="266"/>
    </row>
    <row r="181" spans="1:5" ht="15.75">
      <c r="A181" s="123"/>
      <c r="B181" s="289"/>
      <c r="C181" s="92"/>
      <c r="D181" s="92"/>
      <c r="E181" s="266"/>
    </row>
    <row r="182" spans="1:5" ht="15.75">
      <c r="A182" s="123"/>
      <c r="B182" s="289"/>
      <c r="C182" s="92"/>
      <c r="D182" s="92"/>
      <c r="E182" s="266"/>
    </row>
    <row r="183" spans="1:5" ht="15.75">
      <c r="A183" s="123"/>
      <c r="B183" s="289"/>
      <c r="C183" s="92"/>
      <c r="D183" s="92"/>
      <c r="E183" s="266"/>
    </row>
    <row r="184" spans="1:5" ht="15.75">
      <c r="A184" s="123"/>
      <c r="B184" s="289"/>
      <c r="C184" s="92"/>
      <c r="D184" s="92"/>
      <c r="E184" s="266"/>
    </row>
    <row r="185" spans="1:5" ht="15.75">
      <c r="A185" s="123"/>
      <c r="B185" s="289"/>
      <c r="C185" s="92"/>
      <c r="D185" s="92"/>
      <c r="E185" s="266"/>
    </row>
    <row r="186" spans="1:5" ht="15.75">
      <c r="A186" s="123"/>
      <c r="B186" s="289"/>
      <c r="C186" s="92"/>
      <c r="D186" s="92"/>
      <c r="E186" s="266"/>
    </row>
    <row r="187" spans="1:5" ht="15.75">
      <c r="A187" s="123"/>
      <c r="B187" s="289"/>
      <c r="C187" s="92"/>
      <c r="D187" s="92"/>
      <c r="E187" s="266"/>
    </row>
    <row r="188" spans="1:5" ht="15.75">
      <c r="A188" s="123"/>
      <c r="B188" s="289"/>
      <c r="C188" s="92"/>
      <c r="D188" s="92"/>
      <c r="E188" s="266"/>
    </row>
    <row r="189" spans="1:5" ht="15.75">
      <c r="A189" s="123"/>
      <c r="B189" s="289"/>
      <c r="C189" s="92"/>
      <c r="D189" s="92"/>
      <c r="E189" s="266"/>
    </row>
    <row r="190" spans="1:5" ht="15.75">
      <c r="A190" s="123"/>
      <c r="B190" s="289"/>
      <c r="C190" s="92"/>
      <c r="D190" s="92"/>
      <c r="E190" s="266"/>
    </row>
    <row r="191" spans="1:5" ht="15.75">
      <c r="A191" s="123"/>
      <c r="B191" s="289"/>
      <c r="C191" s="92"/>
      <c r="D191" s="92"/>
      <c r="E191" s="266"/>
    </row>
    <row r="192" spans="1:5" ht="15.75">
      <c r="A192" s="123"/>
      <c r="B192" s="289"/>
      <c r="C192" s="92"/>
      <c r="D192" s="92"/>
      <c r="E192" s="266"/>
    </row>
    <row r="193" spans="1:5" ht="15.75">
      <c r="A193" s="123"/>
      <c r="B193" s="289"/>
      <c r="C193" s="92"/>
      <c r="D193" s="92"/>
      <c r="E193" s="266"/>
    </row>
    <row r="194" spans="1:5" ht="15.75">
      <c r="A194" s="123"/>
      <c r="B194" s="289"/>
      <c r="C194" s="92"/>
      <c r="D194" s="92"/>
      <c r="E194" s="266"/>
    </row>
    <row r="195" spans="1:5" ht="15.75">
      <c r="A195" s="123"/>
      <c r="B195" s="289"/>
      <c r="C195" s="92"/>
      <c r="D195" s="92"/>
      <c r="E195" s="266"/>
    </row>
    <row r="196" spans="1:5" ht="15.75">
      <c r="A196" s="123"/>
      <c r="B196" s="289"/>
      <c r="C196" s="92"/>
      <c r="D196" s="92"/>
      <c r="E196" s="266"/>
    </row>
    <row r="197" spans="1:5" ht="15.75">
      <c r="A197" s="123"/>
      <c r="B197" s="289"/>
      <c r="C197" s="92"/>
      <c r="D197" s="92"/>
      <c r="E197" s="266"/>
    </row>
    <row r="198" spans="1:5" ht="15.75">
      <c r="A198" s="123"/>
      <c r="B198" s="289"/>
      <c r="C198" s="92"/>
      <c r="D198" s="92"/>
      <c r="E198" s="266"/>
    </row>
    <row r="199" spans="1:5" ht="15.75">
      <c r="A199" s="123"/>
      <c r="B199" s="289"/>
      <c r="C199" s="92"/>
      <c r="D199" s="92"/>
      <c r="E199" s="266"/>
    </row>
    <row r="200" spans="1:5" ht="15.75">
      <c r="A200" s="123"/>
      <c r="B200" s="289"/>
      <c r="C200" s="92"/>
      <c r="D200" s="92"/>
      <c r="E200" s="266"/>
    </row>
    <row r="201" spans="1:5" ht="15.75">
      <c r="A201" s="123"/>
      <c r="B201" s="289"/>
      <c r="C201" s="92"/>
      <c r="D201" s="92"/>
      <c r="E201" s="266"/>
    </row>
    <row r="202" spans="1:5" ht="15.75">
      <c r="A202" s="123"/>
      <c r="B202" s="289"/>
      <c r="C202" s="92"/>
      <c r="D202" s="92"/>
      <c r="E202" s="266"/>
    </row>
    <row r="203" spans="1:5" ht="15.75">
      <c r="A203" s="123"/>
      <c r="B203" s="289"/>
      <c r="C203" s="92"/>
      <c r="D203" s="92"/>
      <c r="E203" s="266"/>
    </row>
    <row r="204" spans="1:5" ht="15.75">
      <c r="A204" s="123"/>
      <c r="B204" s="289"/>
      <c r="C204" s="92"/>
      <c r="D204" s="92"/>
      <c r="E204" s="266"/>
    </row>
    <row r="205" spans="1:5" ht="15.75">
      <c r="A205" s="123"/>
      <c r="B205" s="289"/>
      <c r="C205" s="92"/>
      <c r="D205" s="92"/>
      <c r="E205" s="266"/>
    </row>
    <row r="206" spans="1:5" ht="15.75">
      <c r="A206" s="123"/>
      <c r="B206" s="289"/>
      <c r="C206" s="92"/>
      <c r="D206" s="92"/>
      <c r="E206" s="266"/>
    </row>
    <row r="207" spans="1:5" ht="15.75">
      <c r="A207" s="123"/>
      <c r="B207" s="289"/>
      <c r="C207" s="92"/>
      <c r="D207" s="92"/>
      <c r="E207" s="266"/>
    </row>
    <row r="208" spans="1:5" ht="15.75">
      <c r="A208" s="123"/>
      <c r="B208" s="289"/>
      <c r="C208" s="92"/>
      <c r="D208" s="92"/>
      <c r="E208" s="266"/>
    </row>
    <row r="209" spans="1:5" ht="15.75">
      <c r="A209" s="123"/>
      <c r="B209" s="289"/>
      <c r="C209" s="92"/>
      <c r="D209" s="92"/>
      <c r="E209" s="266"/>
    </row>
    <row r="210" spans="1:5" ht="15.75">
      <c r="A210" s="123"/>
      <c r="B210" s="289"/>
      <c r="C210" s="92"/>
      <c r="D210" s="92"/>
      <c r="E210" s="266"/>
    </row>
    <row r="211" spans="1:5" ht="15.75">
      <c r="A211" s="123"/>
      <c r="B211" s="289"/>
      <c r="C211" s="92"/>
      <c r="D211" s="92"/>
      <c r="E211" s="266"/>
    </row>
    <row r="212" spans="1:5" ht="15.75">
      <c r="A212" s="123"/>
      <c r="B212" s="289"/>
      <c r="C212" s="92"/>
      <c r="D212" s="92"/>
      <c r="E212" s="266"/>
    </row>
    <row r="213" spans="1:5" ht="15.75">
      <c r="A213" s="123"/>
      <c r="B213" s="289"/>
      <c r="C213" s="92"/>
      <c r="D213" s="92"/>
      <c r="E213" s="266"/>
    </row>
    <row r="214" spans="1:5" ht="15.75">
      <c r="A214" s="123"/>
      <c r="B214" s="289"/>
      <c r="C214" s="92"/>
      <c r="D214" s="92"/>
      <c r="E214" s="266"/>
    </row>
    <row r="215" spans="1:5" ht="15.75">
      <c r="A215" s="123"/>
      <c r="B215" s="289"/>
      <c r="C215" s="92"/>
      <c r="D215" s="92"/>
      <c r="E215" s="266"/>
    </row>
    <row r="216" spans="1:5" ht="15.75">
      <c r="A216" s="123"/>
      <c r="B216" s="289"/>
      <c r="C216" s="92"/>
      <c r="D216" s="92"/>
      <c r="E216" s="266"/>
    </row>
    <row r="217" spans="1:5" ht="15.75">
      <c r="A217" s="123"/>
      <c r="B217" s="289"/>
      <c r="C217" s="92"/>
      <c r="D217" s="92"/>
      <c r="E217" s="266"/>
    </row>
    <row r="218" spans="1:5" ht="15.75">
      <c r="A218" s="123"/>
      <c r="B218" s="289"/>
      <c r="C218" s="92"/>
      <c r="D218" s="92"/>
      <c r="E218" s="266"/>
    </row>
    <row r="219" spans="1:5" ht="15.75">
      <c r="A219" s="123"/>
      <c r="B219" s="289"/>
      <c r="C219" s="92"/>
      <c r="D219" s="92"/>
      <c r="E219" s="266"/>
    </row>
    <row r="220" spans="1:5" ht="15.75">
      <c r="A220" s="123"/>
      <c r="B220" s="289"/>
      <c r="C220" s="92"/>
      <c r="D220" s="92"/>
      <c r="E220" s="266"/>
    </row>
    <row r="221" spans="1:5" ht="15.75">
      <c r="A221" s="123"/>
      <c r="B221" s="289"/>
      <c r="C221" s="92"/>
      <c r="D221" s="92"/>
      <c r="E221" s="266"/>
    </row>
    <row r="222" spans="1:5" ht="15.75">
      <c r="A222" s="123"/>
      <c r="B222" s="289"/>
      <c r="C222" s="92"/>
      <c r="D222" s="92"/>
      <c r="E222" s="266"/>
    </row>
    <row r="223" spans="1:5" ht="15.75">
      <c r="A223" s="123"/>
      <c r="B223" s="289"/>
      <c r="C223" s="92"/>
      <c r="D223" s="92"/>
      <c r="E223" s="266"/>
    </row>
    <row r="224" spans="1:5" ht="15.75">
      <c r="A224" s="123"/>
      <c r="B224" s="289"/>
      <c r="C224" s="92"/>
      <c r="D224" s="92"/>
      <c r="E224" s="266"/>
    </row>
    <row r="225" spans="1:5" ht="15.75">
      <c r="A225" s="123"/>
      <c r="B225" s="289"/>
      <c r="C225" s="92"/>
      <c r="D225" s="92"/>
      <c r="E225" s="266"/>
    </row>
    <row r="226" spans="1:5" ht="15.75">
      <c r="A226" s="123"/>
      <c r="B226" s="289"/>
      <c r="C226" s="92"/>
      <c r="D226" s="92"/>
      <c r="E226" s="266"/>
    </row>
    <row r="227" spans="1:5" ht="15.75">
      <c r="A227" s="123"/>
      <c r="B227" s="289"/>
      <c r="C227" s="92"/>
      <c r="D227" s="92"/>
      <c r="E227" s="266"/>
    </row>
    <row r="228" spans="1:5" ht="15.75">
      <c r="A228" s="123"/>
      <c r="B228" s="289"/>
      <c r="C228" s="92"/>
      <c r="D228" s="92"/>
      <c r="E228" s="266"/>
    </row>
    <row r="229" spans="1:5" ht="15.75">
      <c r="A229" s="123"/>
      <c r="B229" s="289"/>
      <c r="C229" s="92"/>
      <c r="D229" s="92"/>
      <c r="E229" s="266"/>
    </row>
    <row r="230" spans="1:5" ht="15.75">
      <c r="A230" s="123"/>
      <c r="B230" s="289"/>
      <c r="C230" s="92"/>
      <c r="D230" s="92"/>
      <c r="E230" s="266"/>
    </row>
    <row r="231" spans="1:5" ht="15.75">
      <c r="A231" s="123"/>
      <c r="B231" s="289"/>
      <c r="C231" s="92"/>
      <c r="D231" s="92"/>
      <c r="E231" s="266"/>
    </row>
    <row r="232" spans="1:5" ht="15.75">
      <c r="A232" s="123"/>
      <c r="B232" s="289"/>
      <c r="C232" s="92"/>
      <c r="D232" s="92"/>
      <c r="E232" s="266"/>
    </row>
    <row r="233" spans="1:5" ht="15.75">
      <c r="A233" s="123"/>
      <c r="B233" s="289"/>
      <c r="C233" s="92"/>
      <c r="D233" s="92"/>
      <c r="E233" s="266"/>
    </row>
    <row r="234" spans="1:5" ht="15.75">
      <c r="A234" s="123"/>
      <c r="B234" s="289"/>
      <c r="C234" s="92"/>
      <c r="D234" s="92"/>
      <c r="E234" s="266"/>
    </row>
    <row r="235" spans="1:5" ht="15.75">
      <c r="A235" s="123"/>
      <c r="B235" s="289"/>
      <c r="C235" s="92"/>
      <c r="D235" s="92"/>
      <c r="E235" s="266"/>
    </row>
    <row r="236" spans="1:5" ht="15.75">
      <c r="A236" s="123"/>
      <c r="B236" s="289"/>
      <c r="C236" s="92"/>
      <c r="D236" s="92"/>
      <c r="E236" s="266"/>
    </row>
    <row r="237" spans="1:5" ht="15.75">
      <c r="A237" s="123"/>
      <c r="B237" s="289"/>
      <c r="C237" s="92"/>
      <c r="D237" s="92"/>
      <c r="E237" s="266"/>
    </row>
    <row r="238" spans="1:5" ht="15.75">
      <c r="A238" s="123"/>
      <c r="B238" s="289"/>
      <c r="C238" s="92"/>
      <c r="D238" s="92"/>
      <c r="E238" s="266"/>
    </row>
    <row r="239" spans="1:5" ht="15.75">
      <c r="A239" s="123"/>
      <c r="B239" s="289"/>
      <c r="C239" s="92"/>
      <c r="D239" s="92"/>
      <c r="E239" s="266"/>
    </row>
    <row r="240" spans="1:5" ht="15.75">
      <c r="A240" s="123"/>
      <c r="B240" s="289"/>
      <c r="C240" s="92"/>
      <c r="D240" s="92"/>
      <c r="E240" s="266"/>
    </row>
    <row r="241" spans="1:5" ht="15.75">
      <c r="A241" s="123"/>
      <c r="B241" s="289"/>
      <c r="C241" s="92"/>
      <c r="D241" s="92"/>
      <c r="E241" s="266"/>
    </row>
    <row r="242" spans="1:5" ht="15.75">
      <c r="A242" s="123"/>
      <c r="B242" s="289"/>
      <c r="C242" s="92"/>
      <c r="D242" s="92"/>
      <c r="E242" s="266"/>
    </row>
    <row r="243" spans="1:5" ht="15.75">
      <c r="A243" s="123"/>
      <c r="B243" s="289"/>
      <c r="C243" s="92"/>
      <c r="D243" s="92"/>
      <c r="E243" s="266"/>
    </row>
    <row r="244" spans="1:5" ht="15.75">
      <c r="A244" s="123"/>
      <c r="B244" s="289"/>
      <c r="C244" s="92"/>
      <c r="D244" s="92"/>
      <c r="E244" s="266"/>
    </row>
    <row r="245" spans="1:5" ht="15.75">
      <c r="A245" s="123"/>
      <c r="B245" s="289"/>
      <c r="C245" s="92"/>
      <c r="D245" s="92"/>
      <c r="E245" s="266"/>
    </row>
    <row r="246" spans="1:5" ht="15.75">
      <c r="A246" s="123"/>
      <c r="B246" s="289"/>
      <c r="C246" s="92"/>
      <c r="D246" s="92"/>
      <c r="E246" s="266"/>
    </row>
    <row r="247" spans="1:5" ht="15.75">
      <c r="A247" s="123"/>
      <c r="B247" s="289"/>
      <c r="C247" s="92"/>
      <c r="D247" s="92"/>
      <c r="E247" s="266"/>
    </row>
    <row r="248" spans="1:5" ht="15.75">
      <c r="A248" s="123"/>
      <c r="B248" s="289"/>
      <c r="C248" s="92"/>
      <c r="D248" s="92"/>
      <c r="E248" s="266"/>
    </row>
    <row r="249" spans="1:5" ht="15.75">
      <c r="A249" s="123"/>
      <c r="B249" s="289"/>
      <c r="C249" s="92"/>
      <c r="D249" s="92"/>
      <c r="E249" s="266"/>
    </row>
    <row r="250" spans="1:5" ht="15.75">
      <c r="A250" s="123"/>
      <c r="B250" s="289"/>
      <c r="C250" s="92"/>
      <c r="D250" s="92"/>
      <c r="E250" s="266"/>
    </row>
    <row r="251" spans="1:5" ht="15.75">
      <c r="A251" s="123"/>
      <c r="B251" s="289"/>
      <c r="C251" s="92"/>
      <c r="D251" s="92"/>
      <c r="E251" s="266"/>
    </row>
    <row r="252" spans="1:5" ht="15.75">
      <c r="A252" s="123"/>
      <c r="B252" s="289"/>
      <c r="C252" s="92"/>
      <c r="D252" s="92"/>
      <c r="E252" s="266"/>
    </row>
    <row r="253" spans="1:5" ht="15.75">
      <c r="A253" s="123"/>
      <c r="B253" s="289"/>
      <c r="C253" s="92"/>
      <c r="D253" s="92"/>
      <c r="E253" s="266"/>
    </row>
    <row r="254" spans="1:5" ht="15.75">
      <c r="A254" s="123"/>
      <c r="B254" s="289"/>
      <c r="C254" s="92"/>
      <c r="D254" s="92"/>
      <c r="E254" s="266"/>
    </row>
    <row r="255" spans="1:5" ht="15.75">
      <c r="A255" s="123"/>
      <c r="B255" s="289"/>
      <c r="C255" s="92"/>
      <c r="D255" s="92"/>
      <c r="E255" s="266"/>
    </row>
    <row r="256" spans="1:5" ht="15.75">
      <c r="A256" s="123"/>
      <c r="B256" s="289"/>
      <c r="C256" s="92"/>
      <c r="D256" s="92"/>
      <c r="E256" s="266"/>
    </row>
    <row r="257" spans="1:5" ht="15.75">
      <c r="A257" s="123"/>
      <c r="B257" s="289"/>
      <c r="C257" s="92"/>
      <c r="D257" s="92"/>
      <c r="E257" s="266"/>
    </row>
    <row r="258" spans="1:5" ht="15.75">
      <c r="A258" s="123"/>
      <c r="B258" s="289"/>
      <c r="C258" s="92"/>
      <c r="D258" s="92"/>
      <c r="E258" s="266"/>
    </row>
    <row r="259" spans="1:5" ht="15.75">
      <c r="A259" s="123"/>
      <c r="B259" s="289"/>
      <c r="C259" s="92"/>
      <c r="D259" s="92"/>
      <c r="E259" s="266"/>
    </row>
    <row r="260" spans="1:5" ht="15.75">
      <c r="A260" s="123"/>
      <c r="B260" s="289"/>
      <c r="C260" s="92"/>
      <c r="D260" s="92"/>
      <c r="E260" s="266"/>
    </row>
    <row r="261" spans="1:5" ht="15.75">
      <c r="A261" s="123"/>
      <c r="B261" s="289"/>
      <c r="C261" s="92"/>
      <c r="D261" s="92"/>
      <c r="E261" s="266"/>
    </row>
    <row r="262" spans="1:5" ht="15.75">
      <c r="A262" s="123"/>
      <c r="B262" s="289"/>
      <c r="C262" s="92"/>
      <c r="D262" s="92"/>
      <c r="E262" s="266"/>
    </row>
    <row r="263" spans="1:5" ht="15.75">
      <c r="A263" s="123"/>
      <c r="B263" s="289"/>
      <c r="C263" s="92"/>
      <c r="D263" s="92"/>
      <c r="E263" s="266"/>
    </row>
    <row r="264" spans="1:5" ht="15.75">
      <c r="A264" s="123"/>
      <c r="B264" s="289"/>
      <c r="C264" s="92"/>
      <c r="D264" s="92"/>
      <c r="E264" s="266"/>
    </row>
    <row r="265" spans="1:5" ht="15.75">
      <c r="A265" s="123"/>
      <c r="B265" s="289"/>
      <c r="C265" s="92"/>
      <c r="D265" s="92"/>
      <c r="E265" s="266"/>
    </row>
    <row r="266" spans="1:5" ht="15.75">
      <c r="A266" s="123"/>
      <c r="B266" s="289"/>
      <c r="C266" s="92"/>
      <c r="D266" s="92"/>
      <c r="E266" s="266"/>
    </row>
    <row r="267" spans="1:5" ht="15.75">
      <c r="A267" s="123"/>
      <c r="B267" s="289"/>
      <c r="C267" s="92"/>
      <c r="D267" s="92"/>
      <c r="E267" s="266"/>
    </row>
    <row r="268" spans="1:5" ht="15.75">
      <c r="A268" s="123"/>
      <c r="B268" s="289"/>
      <c r="C268" s="92"/>
      <c r="D268" s="92"/>
      <c r="E268" s="266"/>
    </row>
    <row r="269" spans="1:5" ht="15.75">
      <c r="A269" s="123"/>
      <c r="B269" s="289"/>
      <c r="C269" s="92"/>
      <c r="D269" s="92"/>
      <c r="E269" s="266"/>
    </row>
    <row r="270" spans="1:5" ht="15.75">
      <c r="A270" s="123"/>
      <c r="B270" s="289"/>
      <c r="C270" s="92"/>
      <c r="D270" s="92"/>
      <c r="E270" s="266"/>
    </row>
    <row r="271" spans="1:5" ht="15.75">
      <c r="A271" s="123"/>
      <c r="B271" s="289"/>
      <c r="C271" s="92"/>
      <c r="D271" s="92"/>
      <c r="E271" s="266"/>
    </row>
    <row r="272" spans="1:5" ht="15.75">
      <c r="A272" s="123"/>
      <c r="B272" s="289"/>
      <c r="C272" s="92"/>
      <c r="D272" s="92"/>
      <c r="E272" s="266"/>
    </row>
    <row r="273" spans="1:5" ht="15.75">
      <c r="A273" s="123"/>
      <c r="B273" s="289"/>
      <c r="C273" s="92"/>
      <c r="D273" s="92"/>
      <c r="E273" s="266"/>
    </row>
    <row r="274" spans="1:5" ht="15.75">
      <c r="A274" s="123"/>
      <c r="B274" s="289"/>
      <c r="C274" s="92"/>
      <c r="D274" s="92"/>
      <c r="E274" s="266"/>
    </row>
    <row r="275" spans="1:5" ht="15.75">
      <c r="A275" s="123"/>
      <c r="B275" s="289"/>
      <c r="C275" s="92"/>
      <c r="D275" s="92"/>
      <c r="E275" s="266"/>
    </row>
    <row r="276" spans="1:5" ht="15.75">
      <c r="A276" s="123"/>
      <c r="B276" s="289"/>
      <c r="C276" s="92"/>
      <c r="D276" s="92"/>
      <c r="E276" s="266"/>
    </row>
    <row r="277" spans="1:5" ht="15.75">
      <c r="A277" s="123"/>
      <c r="B277" s="289"/>
      <c r="C277" s="92"/>
      <c r="D277" s="92"/>
      <c r="E277" s="266"/>
    </row>
    <row r="278" spans="1:5" ht="15.75">
      <c r="A278" s="123"/>
      <c r="B278" s="289"/>
      <c r="C278" s="92"/>
      <c r="D278" s="92"/>
      <c r="E278" s="266"/>
    </row>
    <row r="279" spans="1:5" ht="15.75">
      <c r="A279" s="123"/>
      <c r="B279" s="289"/>
      <c r="C279" s="92"/>
      <c r="D279" s="92"/>
      <c r="E279" s="266"/>
    </row>
    <row r="280" spans="1:5" ht="15.75">
      <c r="A280" s="123"/>
      <c r="B280" s="289"/>
      <c r="C280" s="92"/>
      <c r="D280" s="92"/>
      <c r="E280" s="266"/>
    </row>
    <row r="281" spans="1:5" ht="15.75">
      <c r="A281" s="123"/>
      <c r="B281" s="289"/>
      <c r="C281" s="92"/>
      <c r="D281" s="92"/>
      <c r="E281" s="266"/>
    </row>
    <row r="282" spans="1:5" ht="15.75">
      <c r="A282" s="123"/>
      <c r="B282" s="289"/>
      <c r="C282" s="92"/>
      <c r="D282" s="92"/>
      <c r="E282" s="266"/>
    </row>
    <row r="283" spans="1:5" ht="15.75">
      <c r="A283" s="123"/>
      <c r="B283" s="289"/>
      <c r="C283" s="92"/>
      <c r="D283" s="92"/>
      <c r="E283" s="266"/>
    </row>
    <row r="284" spans="1:5" ht="15.75">
      <c r="A284" s="123"/>
      <c r="B284" s="289"/>
      <c r="C284" s="92"/>
      <c r="D284" s="92"/>
      <c r="E284" s="266"/>
    </row>
    <row r="285" spans="1:5" ht="15.75">
      <c r="A285" s="123"/>
      <c r="B285" s="289"/>
      <c r="C285" s="92"/>
      <c r="D285" s="92"/>
      <c r="E285" s="266"/>
    </row>
    <row r="286" spans="1:5" ht="15.75">
      <c r="A286" s="123"/>
      <c r="B286" s="289"/>
      <c r="C286" s="92"/>
      <c r="D286" s="92"/>
      <c r="E286" s="266"/>
    </row>
    <row r="287" spans="1:5" ht="15.75">
      <c r="A287" s="123"/>
      <c r="B287" s="289"/>
      <c r="C287" s="92"/>
      <c r="D287" s="92"/>
      <c r="E287" s="266"/>
    </row>
    <row r="288" spans="1:5" ht="15.75">
      <c r="A288" s="123"/>
      <c r="B288" s="289"/>
      <c r="C288" s="92"/>
      <c r="D288" s="92"/>
      <c r="E288" s="266"/>
    </row>
    <row r="289" spans="1:5" ht="15.75">
      <c r="A289" s="123"/>
      <c r="B289" s="289"/>
      <c r="C289" s="92"/>
      <c r="D289" s="92"/>
      <c r="E289" s="266"/>
    </row>
    <row r="290" spans="1:5" ht="15.75">
      <c r="A290" s="123"/>
      <c r="B290" s="289"/>
      <c r="C290" s="92"/>
      <c r="D290" s="92"/>
      <c r="E290" s="266"/>
    </row>
    <row r="291" spans="1:5" ht="15.75">
      <c r="A291" s="123"/>
      <c r="B291" s="289"/>
      <c r="C291" s="92"/>
      <c r="D291" s="92"/>
      <c r="E291" s="266"/>
    </row>
    <row r="292" spans="1:5" ht="15.75">
      <c r="A292" s="123"/>
      <c r="B292" s="289"/>
      <c r="C292" s="92"/>
      <c r="D292" s="92"/>
      <c r="E292" s="266"/>
    </row>
    <row r="293" spans="1:5" ht="15.75">
      <c r="A293" s="123"/>
      <c r="B293" s="289"/>
      <c r="C293" s="92"/>
      <c r="D293" s="92"/>
      <c r="E293" s="266"/>
    </row>
    <row r="294" spans="1:5" ht="15.75">
      <c r="A294" s="123"/>
      <c r="B294" s="289"/>
      <c r="C294" s="92"/>
      <c r="D294" s="92"/>
      <c r="E294" s="266"/>
    </row>
    <row r="295" spans="1:5" ht="15.75">
      <c r="A295" s="123"/>
      <c r="B295" s="289"/>
      <c r="C295" s="92"/>
      <c r="D295" s="92"/>
      <c r="E295" s="266"/>
    </row>
    <row r="296" spans="1:5" ht="15.75">
      <c r="A296" s="123"/>
      <c r="B296" s="289"/>
      <c r="C296" s="92"/>
      <c r="D296" s="92"/>
      <c r="E296" s="266"/>
    </row>
    <row r="297" spans="1:5" ht="15.75">
      <c r="A297" s="123"/>
      <c r="B297" s="289"/>
      <c r="C297" s="92"/>
      <c r="D297" s="92"/>
      <c r="E297" s="266"/>
    </row>
    <row r="298" spans="1:5" ht="15.75">
      <c r="A298" s="123"/>
      <c r="B298" s="289"/>
      <c r="C298" s="92"/>
      <c r="D298" s="92"/>
      <c r="E298" s="266"/>
    </row>
    <row r="299" spans="1:5" ht="15.75">
      <c r="A299" s="123"/>
      <c r="B299" s="289"/>
      <c r="C299" s="92"/>
      <c r="D299" s="92"/>
      <c r="E299" s="266"/>
    </row>
    <row r="300" spans="1:5" ht="15.75">
      <c r="A300" s="123"/>
      <c r="B300" s="289"/>
      <c r="C300" s="92"/>
      <c r="D300" s="92"/>
      <c r="E300" s="266"/>
    </row>
    <row r="301" spans="1:5" ht="15.75">
      <c r="A301" s="123"/>
      <c r="B301" s="289"/>
      <c r="C301" s="92"/>
      <c r="D301" s="92"/>
      <c r="E301" s="266"/>
    </row>
    <row r="302" spans="1:5" ht="15.75">
      <c r="A302" s="123"/>
      <c r="B302" s="289"/>
      <c r="C302" s="92"/>
      <c r="D302" s="92"/>
      <c r="E302" s="266"/>
    </row>
    <row r="303" spans="1:5" ht="15.75">
      <c r="A303" s="123"/>
      <c r="B303" s="289"/>
      <c r="C303" s="92"/>
      <c r="D303" s="92"/>
      <c r="E303" s="266"/>
    </row>
    <row r="304" spans="1:5" ht="15.75">
      <c r="A304" s="123"/>
      <c r="B304" s="289"/>
      <c r="C304" s="92"/>
      <c r="D304" s="92"/>
      <c r="E304" s="266"/>
    </row>
    <row r="305" spans="1:5" ht="15.75">
      <c r="A305" s="123"/>
      <c r="B305" s="289"/>
      <c r="C305" s="92"/>
      <c r="D305" s="92"/>
      <c r="E305" s="266"/>
    </row>
    <row r="306" spans="1:5" ht="15.75">
      <c r="A306" s="123"/>
      <c r="B306" s="289"/>
      <c r="C306" s="92"/>
      <c r="D306" s="92"/>
      <c r="E306" s="266"/>
    </row>
    <row r="307" spans="1:5" ht="15.75">
      <c r="A307" s="123"/>
      <c r="B307" s="289"/>
      <c r="C307" s="92"/>
      <c r="D307" s="92"/>
      <c r="E307" s="266"/>
    </row>
    <row r="308" spans="1:5" ht="15.75">
      <c r="A308" s="123"/>
      <c r="B308" s="289"/>
      <c r="C308" s="92"/>
      <c r="D308" s="92"/>
      <c r="E308" s="266"/>
    </row>
    <row r="309" spans="1:5" ht="15.75">
      <c r="A309" s="123"/>
      <c r="B309" s="289"/>
      <c r="C309" s="92"/>
      <c r="D309" s="92"/>
      <c r="E309" s="266"/>
    </row>
    <row r="310" spans="1:5" ht="15.75">
      <c r="A310" s="123"/>
      <c r="B310" s="289"/>
      <c r="C310" s="92"/>
      <c r="D310" s="92"/>
      <c r="E310" s="266"/>
    </row>
    <row r="311" spans="1:5" ht="15.75">
      <c r="A311" s="123"/>
      <c r="B311" s="289"/>
      <c r="C311" s="92"/>
      <c r="D311" s="92"/>
      <c r="E311" s="266"/>
    </row>
    <row r="312" spans="1:5" ht="15.75">
      <c r="A312" s="123"/>
      <c r="B312" s="289"/>
      <c r="C312" s="92"/>
      <c r="D312" s="92"/>
      <c r="E312" s="266"/>
    </row>
    <row r="313" spans="1:5" ht="15.75">
      <c r="A313" s="123"/>
      <c r="B313" s="289"/>
      <c r="C313" s="92"/>
      <c r="D313" s="92"/>
      <c r="E313" s="266"/>
    </row>
    <row r="314" spans="1:5" ht="15.75">
      <c r="A314" s="123"/>
      <c r="B314" s="289"/>
      <c r="C314" s="92"/>
      <c r="D314" s="92"/>
      <c r="E314" s="266"/>
    </row>
    <row r="315" spans="1:5" ht="15.75">
      <c r="A315" s="123"/>
      <c r="B315" s="289"/>
      <c r="C315" s="92"/>
      <c r="D315" s="92"/>
      <c r="E315" s="266"/>
    </row>
    <row r="316" spans="1:5" ht="15.75">
      <c r="A316" s="123"/>
      <c r="B316" s="289"/>
      <c r="C316" s="92"/>
      <c r="D316" s="92"/>
      <c r="E316" s="266"/>
    </row>
    <row r="317" spans="1:5" ht="15.75">
      <c r="A317" s="123"/>
      <c r="B317" s="289"/>
      <c r="C317" s="92"/>
      <c r="D317" s="92"/>
      <c r="E317" s="266"/>
    </row>
    <row r="318" spans="1:5" ht="15.75">
      <c r="A318" s="123"/>
      <c r="B318" s="289"/>
      <c r="C318" s="92"/>
      <c r="D318" s="92"/>
      <c r="E318" s="266"/>
    </row>
    <row r="319" spans="1:5" ht="15.75">
      <c r="A319" s="123"/>
      <c r="B319" s="289"/>
      <c r="C319" s="92"/>
      <c r="D319" s="92"/>
      <c r="E319" s="266"/>
    </row>
    <row r="320" spans="1:5" ht="15.75">
      <c r="A320" s="123"/>
      <c r="B320" s="289"/>
      <c r="C320" s="92"/>
      <c r="D320" s="92"/>
      <c r="E320" s="266"/>
    </row>
    <row r="321" spans="1:5" ht="15.75">
      <c r="A321" s="123"/>
      <c r="B321" s="289"/>
      <c r="C321" s="92"/>
      <c r="D321" s="92"/>
      <c r="E321" s="266"/>
    </row>
    <row r="322" spans="1:5" ht="15.75">
      <c r="A322" s="123"/>
      <c r="B322" s="289"/>
      <c r="C322" s="92"/>
      <c r="D322" s="92"/>
      <c r="E322" s="266"/>
    </row>
    <row r="323" spans="1:5" ht="15.75">
      <c r="A323" s="123"/>
      <c r="B323" s="289"/>
      <c r="C323" s="92"/>
      <c r="D323" s="92"/>
      <c r="E323" s="266"/>
    </row>
    <row r="324" spans="1:5" ht="15.75">
      <c r="A324" s="123"/>
      <c r="B324" s="289"/>
      <c r="C324" s="92"/>
      <c r="D324" s="92"/>
      <c r="E324" s="266"/>
    </row>
    <row r="325" spans="1:5" ht="15.75">
      <c r="A325" s="123"/>
      <c r="B325" s="289"/>
      <c r="C325" s="92"/>
      <c r="D325" s="92"/>
      <c r="E325" s="266"/>
    </row>
    <row r="326" spans="1:5" ht="15.75">
      <c r="A326" s="123"/>
      <c r="B326" s="289"/>
      <c r="C326" s="92"/>
      <c r="D326" s="92"/>
      <c r="E326" s="266"/>
    </row>
    <row r="327" spans="1:5" ht="15.75">
      <c r="A327" s="123"/>
      <c r="B327" s="289"/>
      <c r="C327" s="92"/>
      <c r="D327" s="92"/>
      <c r="E327" s="266"/>
    </row>
    <row r="328" spans="1:5" ht="15.75">
      <c r="A328" s="123"/>
      <c r="B328" s="289"/>
      <c r="C328" s="92"/>
      <c r="D328" s="92"/>
      <c r="E328" s="266"/>
    </row>
    <row r="329" spans="1:5" ht="15.75">
      <c r="A329" s="123"/>
      <c r="B329" s="289"/>
      <c r="C329" s="92"/>
      <c r="D329" s="92"/>
      <c r="E329" s="266"/>
    </row>
    <row r="330" spans="1:5" ht="15.75">
      <c r="A330" s="123"/>
      <c r="B330" s="289"/>
      <c r="C330" s="92"/>
      <c r="D330" s="92"/>
      <c r="E330" s="266"/>
    </row>
    <row r="331" spans="1:5" ht="15.75">
      <c r="A331" s="123"/>
      <c r="B331" s="289"/>
      <c r="C331" s="92"/>
      <c r="D331" s="92"/>
      <c r="E331" s="266"/>
    </row>
    <row r="332" spans="1:5" ht="15.75">
      <c r="A332" s="123"/>
      <c r="B332" s="289"/>
      <c r="C332" s="92"/>
      <c r="D332" s="92"/>
      <c r="E332" s="266"/>
    </row>
    <row r="333" spans="1:5" ht="15.75">
      <c r="A333" s="123"/>
      <c r="B333" s="289"/>
      <c r="C333" s="92"/>
      <c r="D333" s="92"/>
      <c r="E333" s="266"/>
    </row>
    <row r="334" spans="1:5" ht="15.75">
      <c r="A334" s="123"/>
      <c r="B334" s="289"/>
      <c r="C334" s="92"/>
      <c r="D334" s="92"/>
      <c r="E334" s="266"/>
    </row>
    <row r="335" spans="1:5" ht="15.75">
      <c r="A335" s="123"/>
      <c r="B335" s="289"/>
      <c r="C335" s="92"/>
      <c r="D335" s="92"/>
      <c r="E335" s="266"/>
    </row>
    <row r="336" spans="1:5" ht="15.75">
      <c r="A336" s="123"/>
      <c r="B336" s="289"/>
      <c r="C336" s="92"/>
      <c r="D336" s="92"/>
      <c r="E336" s="266"/>
    </row>
    <row r="337" spans="1:5" ht="15.75">
      <c r="A337" s="123"/>
      <c r="B337" s="289"/>
      <c r="C337" s="92"/>
      <c r="D337" s="92"/>
      <c r="E337" s="266"/>
    </row>
    <row r="338" spans="1:5" ht="15.75">
      <c r="A338" s="123"/>
      <c r="B338" s="289"/>
      <c r="C338" s="92"/>
      <c r="D338" s="92"/>
      <c r="E338" s="266"/>
    </row>
    <row r="339" spans="1:5" ht="15.75">
      <c r="A339" s="123"/>
      <c r="B339" s="289"/>
      <c r="C339" s="92"/>
      <c r="D339" s="92"/>
      <c r="E339" s="266"/>
    </row>
    <row r="340" spans="1:5" ht="15.75">
      <c r="A340" s="123"/>
      <c r="B340" s="289"/>
      <c r="C340" s="92"/>
      <c r="D340" s="92"/>
      <c r="E340" s="266"/>
    </row>
    <row r="341" spans="1:5" ht="15.75">
      <c r="A341" s="123"/>
      <c r="B341" s="289"/>
      <c r="C341" s="92"/>
      <c r="D341" s="92"/>
      <c r="E341" s="266"/>
    </row>
    <row r="342" spans="1:5" ht="15.75">
      <c r="A342" s="123"/>
      <c r="B342" s="289"/>
      <c r="C342" s="92"/>
      <c r="D342" s="92"/>
      <c r="E342" s="266"/>
    </row>
    <row r="343" spans="1:5" ht="15.75">
      <c r="A343" s="123"/>
      <c r="B343" s="289"/>
      <c r="C343" s="92"/>
      <c r="D343" s="92"/>
      <c r="E343" s="266"/>
    </row>
    <row r="344" spans="1:5" ht="15.75">
      <c r="A344" s="123"/>
      <c r="B344" s="289"/>
      <c r="C344" s="92"/>
      <c r="D344" s="92"/>
      <c r="E344" s="266"/>
    </row>
    <row r="345" spans="1:5" ht="15.75">
      <c r="A345" s="123"/>
      <c r="B345" s="289"/>
      <c r="C345" s="92"/>
      <c r="D345" s="92"/>
      <c r="E345" s="266"/>
    </row>
    <row r="346" spans="1:5" ht="15.75">
      <c r="A346" s="123"/>
      <c r="B346" s="289"/>
      <c r="C346" s="92"/>
      <c r="D346" s="92"/>
      <c r="E346" s="266"/>
    </row>
    <row r="347" spans="1:5" ht="15.75">
      <c r="A347" s="123"/>
      <c r="B347" s="289"/>
      <c r="C347" s="92"/>
      <c r="D347" s="92"/>
      <c r="E347" s="266"/>
    </row>
    <row r="348" spans="1:5" ht="15.75">
      <c r="A348" s="123"/>
      <c r="B348" s="289"/>
      <c r="C348" s="92"/>
      <c r="D348" s="92"/>
      <c r="E348" s="266"/>
    </row>
    <row r="349" spans="1:5" ht="15.75">
      <c r="A349" s="123"/>
      <c r="B349" s="289"/>
      <c r="C349" s="92"/>
      <c r="D349" s="92"/>
      <c r="E349" s="266"/>
    </row>
    <row r="350" spans="1:5" ht="15.75">
      <c r="A350" s="123"/>
      <c r="B350" s="289"/>
      <c r="C350" s="92"/>
      <c r="D350" s="92"/>
      <c r="E350" s="266"/>
    </row>
    <row r="351" spans="1:5" ht="15.75">
      <c r="A351" s="123"/>
      <c r="B351" s="289"/>
      <c r="C351" s="92"/>
      <c r="D351" s="92"/>
      <c r="E351" s="266"/>
    </row>
    <row r="352" spans="1:5" ht="15.75">
      <c r="A352" s="123"/>
      <c r="B352" s="289"/>
      <c r="C352" s="92"/>
      <c r="D352" s="92"/>
      <c r="E352" s="266"/>
    </row>
    <row r="353" spans="1:5" ht="15.75">
      <c r="A353" s="123"/>
      <c r="B353" s="289"/>
      <c r="C353" s="92"/>
      <c r="D353" s="92"/>
      <c r="E353" s="266"/>
    </row>
    <row r="354" spans="1:5" ht="15.75">
      <c r="A354" s="123"/>
      <c r="B354" s="289"/>
      <c r="C354" s="92"/>
      <c r="D354" s="92"/>
      <c r="E354" s="266"/>
    </row>
    <row r="355" spans="1:5" ht="15.75">
      <c r="A355" s="123"/>
      <c r="B355" s="289"/>
      <c r="C355" s="92"/>
      <c r="D355" s="92"/>
      <c r="E355" s="266"/>
    </row>
    <row r="356" spans="1:5" ht="15.75">
      <c r="A356" s="123"/>
      <c r="B356" s="289"/>
      <c r="C356" s="92"/>
      <c r="D356" s="92"/>
      <c r="E356" s="266"/>
    </row>
    <row r="357" spans="1:5" ht="15.75">
      <c r="A357" s="123"/>
      <c r="B357" s="289"/>
      <c r="C357" s="92"/>
      <c r="D357" s="92"/>
      <c r="E357" s="266"/>
    </row>
    <row r="358" spans="1:5" ht="15.75">
      <c r="A358" s="123"/>
      <c r="B358" s="289"/>
      <c r="C358" s="92"/>
      <c r="D358" s="92"/>
      <c r="E358" s="266"/>
    </row>
    <row r="359" spans="1:5" ht="15.75">
      <c r="A359" s="123"/>
      <c r="B359" s="289"/>
      <c r="C359" s="92"/>
      <c r="D359" s="92"/>
      <c r="E359" s="266"/>
    </row>
    <row r="360" spans="1:5" ht="15.75">
      <c r="A360" s="123"/>
      <c r="B360" s="289"/>
      <c r="C360" s="92"/>
      <c r="D360" s="92"/>
      <c r="E360" s="266"/>
    </row>
    <row r="361" spans="1:5" ht="15.75">
      <c r="A361" s="123"/>
      <c r="B361" s="289"/>
      <c r="C361" s="92"/>
      <c r="D361" s="92"/>
      <c r="E361" s="266"/>
    </row>
    <row r="362" spans="1:5" ht="15.75">
      <c r="A362" s="123"/>
      <c r="B362" s="289"/>
      <c r="C362" s="92"/>
      <c r="D362" s="92"/>
      <c r="E362" s="266"/>
    </row>
    <row r="363" spans="1:5" ht="15.75">
      <c r="A363" s="123"/>
      <c r="B363" s="289"/>
      <c r="C363" s="92"/>
      <c r="D363" s="92"/>
      <c r="E363" s="266"/>
    </row>
    <row r="364" spans="1:5" ht="15.75">
      <c r="A364" s="123"/>
      <c r="B364" s="289"/>
      <c r="C364" s="92"/>
      <c r="D364" s="92"/>
      <c r="E364" s="266"/>
    </row>
    <row r="365" spans="1:5" ht="15.75">
      <c r="A365" s="123"/>
      <c r="B365" s="289"/>
      <c r="C365" s="92"/>
      <c r="D365" s="92"/>
      <c r="E365" s="266"/>
    </row>
    <row r="366" spans="1:5" ht="15.75">
      <c r="A366" s="123"/>
      <c r="B366" s="289"/>
      <c r="C366" s="92"/>
      <c r="D366" s="92"/>
      <c r="E366" s="266"/>
    </row>
    <row r="367" spans="1:5" ht="15.75">
      <c r="A367" s="123"/>
      <c r="B367" s="289"/>
      <c r="C367" s="92"/>
      <c r="D367" s="92"/>
      <c r="E367" s="266"/>
    </row>
    <row r="368" spans="1:5" ht="15.75">
      <c r="A368" s="123"/>
      <c r="B368" s="289"/>
      <c r="C368" s="92"/>
      <c r="D368" s="92"/>
      <c r="E368" s="266"/>
    </row>
    <row r="369" spans="1:5" ht="15.75">
      <c r="A369" s="123"/>
      <c r="B369" s="289"/>
      <c r="C369" s="92"/>
      <c r="D369" s="92"/>
      <c r="E369" s="266"/>
    </row>
    <row r="370" spans="1:5" ht="15.75">
      <c r="A370" s="123"/>
      <c r="B370" s="289"/>
      <c r="C370" s="92"/>
      <c r="D370" s="92"/>
      <c r="E370" s="266"/>
    </row>
    <row r="371" spans="1:5" ht="15.75">
      <c r="A371" s="123"/>
      <c r="B371" s="289"/>
      <c r="C371" s="92"/>
      <c r="D371" s="92"/>
      <c r="E371" s="266"/>
    </row>
    <row r="372" spans="1:5" ht="15.75">
      <c r="A372" s="123"/>
      <c r="B372" s="289"/>
      <c r="C372" s="92"/>
      <c r="D372" s="92"/>
      <c r="E372" s="266"/>
    </row>
    <row r="373" spans="1:5" ht="15.75">
      <c r="A373" s="123"/>
      <c r="B373" s="289"/>
      <c r="C373" s="92"/>
      <c r="D373" s="92"/>
      <c r="E373" s="266"/>
    </row>
    <row r="374" spans="1:5" ht="15.75">
      <c r="A374" s="123"/>
      <c r="B374" s="289"/>
      <c r="C374" s="92"/>
      <c r="D374" s="92"/>
      <c r="E374" s="266"/>
    </row>
    <row r="375" spans="1:5" ht="15.75">
      <c r="A375" s="123"/>
      <c r="B375" s="289"/>
      <c r="C375" s="92"/>
      <c r="D375" s="92"/>
      <c r="E375" s="266"/>
    </row>
    <row r="376" spans="1:5" ht="15.75">
      <c r="A376" s="123"/>
      <c r="B376" s="289"/>
      <c r="C376" s="92"/>
      <c r="D376" s="92"/>
      <c r="E376" s="266"/>
    </row>
    <row r="377" spans="1:5" ht="15.75">
      <c r="A377" s="123"/>
      <c r="B377" s="289"/>
      <c r="C377" s="92"/>
      <c r="D377" s="92"/>
      <c r="E377" s="266"/>
    </row>
    <row r="378" spans="1:5" ht="15.75">
      <c r="A378" s="123"/>
      <c r="B378" s="289"/>
      <c r="C378" s="92"/>
      <c r="D378" s="92"/>
      <c r="E378" s="266"/>
    </row>
    <row r="379" spans="1:5" ht="15.75">
      <c r="A379" s="123"/>
      <c r="B379" s="289"/>
      <c r="C379" s="92"/>
      <c r="D379" s="92"/>
      <c r="E379" s="266"/>
    </row>
    <row r="380" spans="1:5" ht="15.75">
      <c r="A380" s="123"/>
      <c r="B380" s="289"/>
      <c r="C380" s="92"/>
      <c r="D380" s="92"/>
      <c r="E380" s="266"/>
    </row>
    <row r="381" spans="1:5" ht="15.75">
      <c r="A381" s="123"/>
      <c r="B381" s="289"/>
      <c r="C381" s="92"/>
      <c r="D381" s="92"/>
      <c r="E381" s="266"/>
    </row>
    <row r="382" spans="1:5" ht="15.75">
      <c r="A382" s="123"/>
      <c r="B382" s="289"/>
      <c r="C382" s="92"/>
      <c r="D382" s="92"/>
      <c r="E382" s="266"/>
    </row>
    <row r="383" spans="1:5" ht="15.75">
      <c r="A383" s="123"/>
      <c r="B383" s="289"/>
      <c r="C383" s="92"/>
      <c r="D383" s="92"/>
      <c r="E383" s="266"/>
    </row>
    <row r="384" spans="1:5" ht="15.75">
      <c r="A384" s="123"/>
      <c r="B384" s="289"/>
      <c r="C384" s="92"/>
      <c r="D384" s="92"/>
      <c r="E384" s="266"/>
    </row>
    <row r="385" spans="1:5" ht="15.75">
      <c r="A385" s="123"/>
      <c r="B385" s="289"/>
      <c r="C385" s="92"/>
      <c r="D385" s="92"/>
      <c r="E385" s="266"/>
    </row>
    <row r="386" spans="1:5" ht="15.75">
      <c r="A386" s="123"/>
      <c r="B386" s="289"/>
      <c r="C386" s="92"/>
      <c r="D386" s="92"/>
      <c r="E386" s="266"/>
    </row>
    <row r="387" spans="1:5" ht="15.75">
      <c r="A387" s="123"/>
      <c r="B387" s="289"/>
      <c r="C387" s="92"/>
      <c r="D387" s="92"/>
      <c r="E387" s="266"/>
    </row>
    <row r="388" spans="1:5" ht="15.75">
      <c r="A388" s="123"/>
      <c r="B388" s="289"/>
      <c r="C388" s="92"/>
      <c r="D388" s="92"/>
      <c r="E388" s="266"/>
    </row>
    <row r="389" spans="1:5" ht="15.75">
      <c r="A389" s="123"/>
      <c r="B389" s="289"/>
      <c r="C389" s="92"/>
      <c r="D389" s="92"/>
      <c r="E389" s="266"/>
    </row>
    <row r="390" spans="1:5" ht="15.75">
      <c r="A390" s="123"/>
      <c r="B390" s="289"/>
      <c r="C390" s="92"/>
      <c r="D390" s="92"/>
      <c r="E390" s="266"/>
    </row>
    <row r="391" spans="1:5" ht="15.75">
      <c r="A391" s="123"/>
      <c r="B391" s="289"/>
      <c r="C391" s="92"/>
      <c r="D391" s="92"/>
      <c r="E391" s="266"/>
    </row>
    <row r="392" spans="1:5" ht="15.75">
      <c r="A392" s="123"/>
      <c r="B392" s="289"/>
      <c r="C392" s="92"/>
      <c r="D392" s="92"/>
      <c r="E392" s="266"/>
    </row>
    <row r="393" spans="1:5" ht="15.75">
      <c r="A393" s="123"/>
      <c r="B393" s="289"/>
      <c r="C393" s="92"/>
      <c r="D393" s="92"/>
      <c r="E393" s="266"/>
    </row>
    <row r="394" spans="1:5" ht="15.75">
      <c r="A394" s="123"/>
      <c r="B394" s="289"/>
      <c r="C394" s="92"/>
      <c r="D394" s="92"/>
      <c r="E394" s="266"/>
    </row>
    <row r="395" spans="1:5" ht="15.75">
      <c r="A395" s="123"/>
      <c r="B395" s="289"/>
      <c r="C395" s="92"/>
      <c r="D395" s="92"/>
      <c r="E395" s="266"/>
    </row>
    <row r="396" spans="1:5" ht="15.75">
      <c r="A396" s="123"/>
      <c r="B396" s="289"/>
      <c r="C396" s="92"/>
      <c r="D396" s="92"/>
      <c r="E396" s="266"/>
    </row>
    <row r="397" spans="1:5" ht="15.75">
      <c r="A397" s="123"/>
      <c r="B397" s="289"/>
      <c r="C397" s="92"/>
      <c r="D397" s="92"/>
      <c r="E397" s="266"/>
    </row>
    <row r="398" spans="1:5" ht="15.75">
      <c r="A398" s="123"/>
      <c r="B398" s="289"/>
      <c r="C398" s="92"/>
      <c r="D398" s="92"/>
      <c r="E398" s="266"/>
    </row>
    <row r="399" spans="1:5" ht="15.75">
      <c r="A399" s="123"/>
      <c r="B399" s="289"/>
      <c r="C399" s="92"/>
      <c r="D399" s="92"/>
      <c r="E399" s="266"/>
    </row>
    <row r="400" spans="1:5" ht="15.75">
      <c r="A400" s="123"/>
      <c r="B400" s="289"/>
      <c r="C400" s="92"/>
      <c r="D400" s="92"/>
      <c r="E400" s="266"/>
    </row>
    <row r="401" spans="1:5" ht="15.75">
      <c r="A401" s="123"/>
      <c r="B401" s="289"/>
      <c r="C401" s="92"/>
      <c r="D401" s="92"/>
      <c r="E401" s="266"/>
    </row>
    <row r="402" spans="1:5" ht="15.75">
      <c r="A402" s="123"/>
      <c r="B402" s="289"/>
      <c r="C402" s="92"/>
      <c r="D402" s="92"/>
      <c r="E402" s="266"/>
    </row>
    <row r="403" spans="1:5" ht="15.75">
      <c r="A403" s="123"/>
      <c r="B403" s="289"/>
      <c r="C403" s="92"/>
      <c r="D403" s="92"/>
      <c r="E403" s="266"/>
    </row>
    <row r="404" spans="1:5" ht="15.75">
      <c r="A404" s="123"/>
      <c r="B404" s="289"/>
      <c r="C404" s="92"/>
      <c r="D404" s="92"/>
      <c r="E404" s="266"/>
    </row>
    <row r="405" spans="1:5" ht="15.75">
      <c r="A405" s="123"/>
      <c r="B405" s="289"/>
      <c r="C405" s="92"/>
      <c r="D405" s="92"/>
      <c r="E405" s="266"/>
    </row>
    <row r="406" spans="1:5" ht="15.75">
      <c r="A406" s="123"/>
      <c r="B406" s="289"/>
      <c r="C406" s="92"/>
      <c r="D406" s="92"/>
      <c r="E406" s="266"/>
    </row>
    <row r="407" spans="1:5" ht="15.75">
      <c r="A407" s="123"/>
      <c r="B407" s="289"/>
      <c r="C407" s="92"/>
      <c r="D407" s="92"/>
      <c r="E407" s="266"/>
    </row>
    <row r="408" spans="1:5" ht="15.75">
      <c r="A408" s="123"/>
      <c r="B408" s="289"/>
      <c r="C408" s="92"/>
      <c r="D408" s="92"/>
      <c r="E408" s="266"/>
    </row>
    <row r="409" spans="1:5" ht="15.75">
      <c r="A409" s="123"/>
      <c r="B409" s="289"/>
      <c r="C409" s="92"/>
      <c r="D409" s="92"/>
      <c r="E409" s="266"/>
    </row>
    <row r="410" spans="1:5" ht="15.75">
      <c r="A410" s="123"/>
      <c r="B410" s="289"/>
      <c r="C410" s="92"/>
      <c r="D410" s="92"/>
      <c r="E410" s="266"/>
    </row>
    <row r="411" spans="1:5" ht="15.75">
      <c r="A411" s="123"/>
      <c r="B411" s="289"/>
      <c r="C411" s="92"/>
      <c r="D411" s="92"/>
      <c r="E411" s="266"/>
    </row>
    <row r="412" spans="1:5" ht="15.75">
      <c r="A412" s="123"/>
      <c r="B412" s="289"/>
      <c r="C412" s="92"/>
      <c r="D412" s="92"/>
      <c r="E412" s="266"/>
    </row>
    <row r="413" spans="1:5" ht="15.75">
      <c r="A413" s="123"/>
      <c r="B413" s="289"/>
      <c r="C413" s="92"/>
      <c r="D413" s="92"/>
      <c r="E413" s="266"/>
    </row>
    <row r="414" spans="1:5" ht="15.75">
      <c r="A414" s="123"/>
      <c r="B414" s="289"/>
      <c r="C414" s="92"/>
      <c r="D414" s="92"/>
      <c r="E414" s="266"/>
    </row>
    <row r="415" spans="1:5" ht="15.75">
      <c r="A415" s="123"/>
      <c r="B415" s="289"/>
      <c r="C415" s="92"/>
      <c r="D415" s="92"/>
      <c r="E415" s="266"/>
    </row>
    <row r="416" spans="1:5" ht="15.75">
      <c r="A416" s="123"/>
      <c r="B416" s="289"/>
      <c r="C416" s="92"/>
      <c r="D416" s="92"/>
      <c r="E416" s="266"/>
    </row>
    <row r="417" spans="1:5" ht="15.75">
      <c r="A417" s="123"/>
      <c r="B417" s="289"/>
      <c r="C417" s="92"/>
      <c r="D417" s="92"/>
      <c r="E417" s="266"/>
    </row>
    <row r="418" spans="1:5" ht="15.75">
      <c r="A418" s="123"/>
      <c r="B418" s="289"/>
      <c r="C418" s="92"/>
      <c r="D418" s="92"/>
      <c r="E418" s="266"/>
    </row>
    <row r="419" spans="1:5" ht="15.75">
      <c r="A419" s="123"/>
      <c r="B419" s="289"/>
      <c r="C419" s="92"/>
      <c r="D419" s="92"/>
      <c r="E419" s="266"/>
    </row>
    <row r="420" spans="1:5" ht="15.75">
      <c r="A420" s="123"/>
      <c r="B420" s="289"/>
      <c r="C420" s="92"/>
      <c r="D420" s="92"/>
      <c r="E420" s="266"/>
    </row>
    <row r="421" spans="1:5" ht="15.75">
      <c r="A421" s="123"/>
      <c r="B421" s="289"/>
      <c r="C421" s="92"/>
      <c r="D421" s="92"/>
      <c r="E421" s="266"/>
    </row>
    <row r="422" spans="1:5" ht="15.75">
      <c r="A422" s="123"/>
      <c r="B422" s="289"/>
      <c r="C422" s="92"/>
      <c r="D422" s="92"/>
      <c r="E422" s="266"/>
    </row>
    <row r="423" spans="1:5" ht="15.75">
      <c r="A423" s="123"/>
      <c r="B423" s="289"/>
      <c r="C423" s="92"/>
      <c r="D423" s="92"/>
      <c r="E423" s="266"/>
    </row>
    <row r="424" spans="1:5" ht="15.75">
      <c r="A424" s="123"/>
      <c r="B424" s="289"/>
      <c r="C424" s="92"/>
      <c r="D424" s="92"/>
      <c r="E424" s="266"/>
    </row>
    <row r="425" spans="1:5" ht="15.75">
      <c r="A425" s="123"/>
      <c r="B425" s="289"/>
      <c r="C425" s="92"/>
      <c r="D425" s="92"/>
      <c r="E425" s="266"/>
    </row>
    <row r="426" spans="1:5" ht="15.75">
      <c r="A426" s="123"/>
      <c r="B426" s="289"/>
      <c r="C426" s="92"/>
      <c r="D426" s="92"/>
      <c r="E426" s="266"/>
    </row>
    <row r="427" spans="1:5" ht="15.75">
      <c r="A427" s="123"/>
      <c r="B427" s="289"/>
      <c r="C427" s="92"/>
      <c r="D427" s="92"/>
      <c r="E427" s="266"/>
    </row>
    <row r="428" spans="1:5" ht="15.75">
      <c r="A428" s="123"/>
      <c r="B428" s="289"/>
      <c r="C428" s="92"/>
      <c r="D428" s="92"/>
      <c r="E428" s="266"/>
    </row>
    <row r="429" spans="1:5" ht="15.75">
      <c r="A429" s="123"/>
      <c r="B429" s="289"/>
      <c r="C429" s="92"/>
      <c r="D429" s="92"/>
      <c r="E429" s="266"/>
    </row>
    <row r="430" spans="1:5" ht="15.75">
      <c r="A430" s="123"/>
      <c r="B430" s="289"/>
      <c r="C430" s="92"/>
      <c r="D430" s="92"/>
      <c r="E430" s="266"/>
    </row>
    <row r="431" spans="1:5" ht="15.75">
      <c r="A431" s="123"/>
      <c r="B431" s="289"/>
      <c r="C431" s="92"/>
      <c r="D431" s="92"/>
      <c r="E431" s="266"/>
    </row>
    <row r="432" spans="1:5" ht="15.75">
      <c r="A432" s="123"/>
      <c r="B432" s="289"/>
      <c r="C432" s="92"/>
      <c r="D432" s="92"/>
      <c r="E432" s="266"/>
    </row>
    <row r="433" spans="1:5" ht="15.75">
      <c r="A433" s="123"/>
      <c r="B433" s="289"/>
      <c r="C433" s="92"/>
      <c r="D433" s="92"/>
      <c r="E433" s="266"/>
    </row>
    <row r="434" spans="1:5" ht="15.75">
      <c r="A434" s="123"/>
      <c r="B434" s="289"/>
      <c r="C434" s="92"/>
      <c r="D434" s="92"/>
      <c r="E434" s="266"/>
    </row>
    <row r="435" spans="1:5" ht="15.75">
      <c r="A435" s="123"/>
      <c r="B435" s="289"/>
      <c r="C435" s="92"/>
      <c r="D435" s="92"/>
      <c r="E435" s="266"/>
    </row>
    <row r="436" spans="1:5" ht="15.75">
      <c r="A436" s="123"/>
      <c r="B436" s="289"/>
      <c r="C436" s="92"/>
      <c r="D436" s="92"/>
      <c r="E436" s="266"/>
    </row>
    <row r="437" spans="1:5" ht="15.75">
      <c r="A437" s="123"/>
      <c r="B437" s="289"/>
      <c r="C437" s="92"/>
      <c r="D437" s="92"/>
      <c r="E437" s="266"/>
    </row>
    <row r="438" spans="1:5" ht="15.75">
      <c r="A438" s="123"/>
      <c r="B438" s="289"/>
      <c r="C438" s="92"/>
      <c r="D438" s="92"/>
      <c r="E438" s="266"/>
    </row>
    <row r="439" spans="1:5" ht="15.75">
      <c r="A439" s="123"/>
      <c r="B439" s="289"/>
      <c r="C439" s="92"/>
      <c r="D439" s="92"/>
      <c r="E439" s="266"/>
    </row>
    <row r="440" spans="1:5" ht="15.75">
      <c r="A440" s="123"/>
      <c r="B440" s="289"/>
      <c r="C440" s="92"/>
      <c r="D440" s="92"/>
      <c r="E440" s="266"/>
    </row>
    <row r="441" spans="1:5" ht="15.75">
      <c r="A441" s="123"/>
      <c r="B441" s="289"/>
      <c r="C441" s="92"/>
      <c r="D441" s="92"/>
      <c r="E441" s="266"/>
    </row>
    <row r="442" spans="1:5" ht="15.75">
      <c r="A442" s="123"/>
      <c r="B442" s="289"/>
      <c r="C442" s="92"/>
      <c r="D442" s="92"/>
      <c r="E442" s="266"/>
    </row>
    <row r="443" spans="1:5" ht="15.75">
      <c r="A443" s="123"/>
      <c r="B443" s="289"/>
      <c r="C443" s="92"/>
      <c r="D443" s="92"/>
      <c r="E443" s="266"/>
    </row>
    <row r="444" spans="1:5" ht="15.75">
      <c r="A444" s="123"/>
      <c r="B444" s="289"/>
      <c r="C444" s="92"/>
      <c r="D444" s="92"/>
      <c r="E444" s="266"/>
    </row>
    <row r="445" spans="1:5" ht="15.75">
      <c r="A445" s="123"/>
      <c r="B445" s="289"/>
      <c r="C445" s="92"/>
      <c r="D445" s="92"/>
      <c r="E445" s="266"/>
    </row>
    <row r="446" spans="1:5" ht="15.75">
      <c r="A446" s="123"/>
      <c r="B446" s="289"/>
      <c r="C446" s="92"/>
      <c r="D446" s="92"/>
      <c r="E446" s="266"/>
    </row>
    <row r="447" spans="1:5" ht="15.75">
      <c r="A447" s="123"/>
      <c r="B447" s="289"/>
      <c r="C447" s="92"/>
      <c r="D447" s="92"/>
      <c r="E447" s="266"/>
    </row>
    <row r="448" spans="1:5" ht="15.75">
      <c r="A448" s="123"/>
      <c r="B448" s="289"/>
      <c r="C448" s="92"/>
      <c r="D448" s="92"/>
      <c r="E448" s="266"/>
    </row>
    <row r="449" spans="1:5" ht="15.75">
      <c r="A449" s="123"/>
      <c r="B449" s="289"/>
      <c r="C449" s="92"/>
      <c r="D449" s="92"/>
      <c r="E449" s="266"/>
    </row>
    <row r="450" spans="1:5" ht="15.75">
      <c r="A450" s="123"/>
      <c r="B450" s="289"/>
      <c r="C450" s="92"/>
      <c r="D450" s="92"/>
      <c r="E450" s="266"/>
    </row>
    <row r="451" spans="1:5" ht="15.75">
      <c r="A451" s="123"/>
      <c r="B451" s="289"/>
      <c r="C451" s="92"/>
      <c r="D451" s="92"/>
      <c r="E451" s="266"/>
    </row>
    <row r="452" spans="1:5" ht="15.75">
      <c r="A452" s="123"/>
      <c r="B452" s="289"/>
      <c r="C452" s="92"/>
      <c r="D452" s="92"/>
      <c r="E452" s="266"/>
    </row>
    <row r="453" spans="1:5" ht="15.75">
      <c r="A453" s="123"/>
      <c r="B453" s="289"/>
      <c r="C453" s="92"/>
      <c r="D453" s="92"/>
      <c r="E453" s="266"/>
    </row>
    <row r="454" spans="1:5" ht="15.75">
      <c r="A454" s="123"/>
      <c r="B454" s="289"/>
      <c r="C454" s="92"/>
      <c r="D454" s="92"/>
      <c r="E454" s="266"/>
    </row>
    <row r="455" spans="1:5" ht="15.75">
      <c r="A455" s="123"/>
      <c r="B455" s="289"/>
      <c r="C455" s="92"/>
      <c r="D455" s="92"/>
      <c r="E455" s="266"/>
    </row>
    <row r="456" spans="1:5" ht="15.75">
      <c r="A456" s="123"/>
      <c r="B456" s="289"/>
      <c r="C456" s="92"/>
      <c r="D456" s="92"/>
      <c r="E456" s="266"/>
    </row>
    <row r="457" spans="1:5" ht="15.75">
      <c r="A457" s="123"/>
      <c r="B457" s="289"/>
      <c r="C457" s="92"/>
      <c r="D457" s="92"/>
      <c r="E457" s="266"/>
    </row>
    <row r="458" spans="1:5" ht="15.75">
      <c r="A458" s="123"/>
      <c r="B458" s="289"/>
      <c r="C458" s="92"/>
      <c r="D458" s="92"/>
      <c r="E458" s="266"/>
    </row>
    <row r="459" spans="1:5" ht="15.75">
      <c r="A459" s="123"/>
      <c r="B459" s="289"/>
      <c r="C459" s="92"/>
      <c r="D459" s="92"/>
      <c r="E459" s="266"/>
    </row>
    <row r="460" spans="1:5" ht="15.75">
      <c r="A460" s="123"/>
      <c r="B460" s="289"/>
      <c r="C460" s="92"/>
      <c r="D460" s="92"/>
      <c r="E460" s="266"/>
    </row>
    <row r="461" spans="1:5" ht="15.75">
      <c r="A461" s="123"/>
      <c r="B461" s="289"/>
      <c r="C461" s="92"/>
      <c r="D461" s="92"/>
      <c r="E461" s="266"/>
    </row>
    <row r="462" spans="1:5" ht="15.75">
      <c r="A462" s="123"/>
      <c r="B462" s="289"/>
      <c r="C462" s="92"/>
      <c r="D462" s="92"/>
      <c r="E462" s="266"/>
    </row>
    <row r="463" spans="1:5" ht="15.75">
      <c r="A463" s="123"/>
      <c r="B463" s="289"/>
      <c r="C463" s="92"/>
      <c r="D463" s="92"/>
      <c r="E463" s="266"/>
    </row>
    <row r="464" spans="1:5" ht="15.75">
      <c r="A464" s="123"/>
      <c r="B464" s="289"/>
      <c r="C464" s="92"/>
      <c r="D464" s="92"/>
      <c r="E464" s="266"/>
    </row>
    <row r="465" spans="1:5" ht="15.75">
      <c r="A465" s="123"/>
      <c r="B465" s="289"/>
      <c r="C465" s="92"/>
      <c r="D465" s="92"/>
      <c r="E465" s="266"/>
    </row>
    <row r="466" spans="1:5" ht="15.75">
      <c r="A466" s="123"/>
      <c r="B466" s="289"/>
      <c r="C466" s="92"/>
      <c r="D466" s="92"/>
      <c r="E466" s="266"/>
    </row>
    <row r="467" spans="1:5" ht="15.75">
      <c r="A467" s="123"/>
      <c r="B467" s="289"/>
      <c r="C467" s="92"/>
      <c r="D467" s="92"/>
      <c r="E467" s="266"/>
    </row>
    <row r="468" spans="1:5" ht="15.75">
      <c r="A468" s="123"/>
      <c r="B468" s="289"/>
      <c r="C468" s="92"/>
      <c r="D468" s="92"/>
      <c r="E468" s="266"/>
    </row>
    <row r="469" spans="1:5" ht="15.75">
      <c r="A469" s="123"/>
      <c r="B469" s="289"/>
      <c r="C469" s="92"/>
      <c r="D469" s="92"/>
      <c r="E469" s="266"/>
    </row>
    <row r="470" spans="1:5" ht="15.75">
      <c r="A470" s="123"/>
      <c r="B470" s="289"/>
      <c r="C470" s="92"/>
      <c r="D470" s="92"/>
      <c r="E470" s="266"/>
    </row>
    <row r="471" spans="1:5" ht="15.75">
      <c r="A471" s="123"/>
      <c r="B471" s="289"/>
      <c r="C471" s="92"/>
      <c r="D471" s="92"/>
      <c r="E471" s="266"/>
    </row>
    <row r="472" spans="1:5" ht="15.75">
      <c r="A472" s="123"/>
      <c r="B472" s="289"/>
      <c r="C472" s="92"/>
      <c r="D472" s="92"/>
      <c r="E472" s="266"/>
    </row>
    <row r="473" spans="1:5" ht="15.75">
      <c r="A473" s="123"/>
      <c r="B473" s="289"/>
      <c r="C473" s="92"/>
      <c r="D473" s="92"/>
      <c r="E473" s="266"/>
    </row>
    <row r="474" spans="1:5" ht="15.75">
      <c r="A474" s="123"/>
      <c r="B474" s="289"/>
      <c r="C474" s="92"/>
      <c r="D474" s="92"/>
      <c r="E474" s="266"/>
    </row>
    <row r="475" spans="1:5" ht="15.75">
      <c r="A475" s="123"/>
      <c r="B475" s="289"/>
      <c r="C475" s="92"/>
      <c r="D475" s="92"/>
      <c r="E475" s="266"/>
    </row>
    <row r="476" spans="1:5" ht="15.75">
      <c r="A476" s="123"/>
      <c r="B476" s="289"/>
      <c r="C476" s="92"/>
      <c r="D476" s="92"/>
      <c r="E476" s="266"/>
    </row>
    <row r="477" spans="1:5" ht="15.75">
      <c r="A477" s="123"/>
      <c r="B477" s="289"/>
      <c r="C477" s="92"/>
      <c r="D477" s="92"/>
      <c r="E477" s="266"/>
    </row>
    <row r="478" spans="1:5" ht="15.75">
      <c r="A478" s="123"/>
      <c r="B478" s="289"/>
      <c r="C478" s="92"/>
      <c r="D478" s="92"/>
      <c r="E478" s="266"/>
    </row>
    <row r="479" spans="1:5" ht="15.75">
      <c r="A479" s="123"/>
      <c r="B479" s="289"/>
      <c r="C479" s="92"/>
      <c r="D479" s="92"/>
      <c r="E479" s="266"/>
    </row>
    <row r="480" spans="1:5" ht="15.75">
      <c r="A480" s="123"/>
      <c r="B480" s="289"/>
      <c r="C480" s="92"/>
      <c r="D480" s="92"/>
      <c r="E480" s="266"/>
    </row>
    <row r="481" spans="1:5" ht="15.75">
      <c r="A481" s="123"/>
      <c r="B481" s="289"/>
      <c r="C481" s="92"/>
      <c r="D481" s="92"/>
      <c r="E481" s="266"/>
    </row>
    <row r="482" spans="1:5" ht="15.75">
      <c r="A482" s="123"/>
      <c r="B482" s="289"/>
      <c r="C482" s="92"/>
      <c r="D482" s="92"/>
      <c r="E482" s="266"/>
    </row>
    <row r="483" spans="1:5" ht="15.75">
      <c r="A483" s="123"/>
      <c r="B483" s="289"/>
      <c r="C483" s="92"/>
      <c r="D483" s="92"/>
      <c r="E483" s="266"/>
    </row>
    <row r="484" spans="1:5" ht="15.75">
      <c r="A484" s="123"/>
      <c r="B484" s="289"/>
      <c r="C484" s="92"/>
      <c r="D484" s="92"/>
      <c r="E484" s="266"/>
    </row>
    <row r="485" spans="1:5" ht="15.75">
      <c r="A485" s="123"/>
      <c r="B485" s="289"/>
      <c r="C485" s="92"/>
      <c r="D485" s="92"/>
      <c r="E485" s="266"/>
    </row>
    <row r="486" spans="1:5" ht="15.75">
      <c r="A486" s="123"/>
      <c r="B486" s="289"/>
      <c r="C486" s="92"/>
      <c r="D486" s="92"/>
      <c r="E486" s="266"/>
    </row>
    <row r="487" spans="1:5" ht="15.75">
      <c r="A487" s="123"/>
      <c r="B487" s="289"/>
      <c r="C487" s="92"/>
      <c r="D487" s="92"/>
      <c r="E487" s="266"/>
    </row>
    <row r="488" spans="1:5" ht="15.75">
      <c r="A488" s="123"/>
      <c r="B488" s="289"/>
      <c r="C488" s="92"/>
      <c r="D488" s="92"/>
      <c r="E488" s="266"/>
    </row>
    <row r="489" spans="1:5" ht="15.75">
      <c r="A489" s="123"/>
      <c r="B489" s="289"/>
      <c r="C489" s="92"/>
      <c r="D489" s="92"/>
      <c r="E489" s="266"/>
    </row>
    <row r="490" spans="1:5" ht="15.75">
      <c r="A490" s="123"/>
      <c r="B490" s="289"/>
      <c r="C490" s="92"/>
      <c r="D490" s="92"/>
      <c r="E490" s="266"/>
    </row>
    <row r="491" spans="1:5" ht="15.75">
      <c r="A491" s="123"/>
      <c r="B491" s="289"/>
      <c r="C491" s="92"/>
      <c r="D491" s="92"/>
      <c r="E491" s="266"/>
    </row>
    <row r="492" spans="1:5" ht="15.75">
      <c r="A492" s="123"/>
      <c r="B492" s="289"/>
      <c r="C492" s="92"/>
      <c r="D492" s="92"/>
      <c r="E492" s="266"/>
    </row>
    <row r="493" spans="1:5" ht="15.75">
      <c r="A493" s="123"/>
      <c r="B493" s="289"/>
      <c r="C493" s="92"/>
      <c r="D493" s="92"/>
      <c r="E493" s="266"/>
    </row>
    <row r="494" spans="1:5" ht="15.75">
      <c r="A494" s="123"/>
      <c r="B494" s="289"/>
      <c r="C494" s="92"/>
      <c r="D494" s="92"/>
      <c r="E494" s="266"/>
    </row>
    <row r="495" spans="1:5" ht="15.75">
      <c r="A495" s="123"/>
      <c r="B495" s="289"/>
      <c r="C495" s="92"/>
      <c r="D495" s="92"/>
      <c r="E495" s="266"/>
    </row>
    <row r="496" spans="1:5" ht="15.75">
      <c r="A496" s="123"/>
      <c r="B496" s="289"/>
      <c r="C496" s="92"/>
      <c r="D496" s="92"/>
      <c r="E496" s="266"/>
    </row>
    <row r="497" spans="1:5" ht="15.75">
      <c r="A497" s="123"/>
      <c r="B497" s="289"/>
      <c r="C497" s="92"/>
      <c r="D497" s="92"/>
      <c r="E497" s="266"/>
    </row>
    <row r="498" spans="1:5" ht="15.75">
      <c r="A498" s="123"/>
      <c r="B498" s="289"/>
      <c r="C498" s="92"/>
      <c r="D498" s="92"/>
      <c r="E498" s="266"/>
    </row>
    <row r="499" spans="1:5" ht="15.75">
      <c r="A499" s="123"/>
      <c r="B499" s="289"/>
      <c r="C499" s="92"/>
      <c r="D499" s="92"/>
      <c r="E499" s="266"/>
    </row>
    <row r="500" spans="1:5" ht="15.75">
      <c r="A500" s="123"/>
      <c r="B500" s="289"/>
      <c r="C500" s="92"/>
      <c r="D500" s="92"/>
      <c r="E500" s="266"/>
    </row>
    <row r="501" spans="1:5" ht="15.75">
      <c r="A501" s="123"/>
      <c r="B501" s="289"/>
      <c r="C501" s="92"/>
      <c r="D501" s="92"/>
      <c r="E501" s="266"/>
    </row>
    <row r="502" spans="1:5" ht="15.75">
      <c r="A502" s="123"/>
      <c r="B502" s="289"/>
      <c r="C502" s="92"/>
      <c r="D502" s="92"/>
      <c r="E502" s="266"/>
    </row>
    <row r="503" spans="1:5" ht="15.75">
      <c r="A503" s="123"/>
      <c r="B503" s="289"/>
      <c r="C503" s="92"/>
      <c r="D503" s="92"/>
      <c r="E503" s="266"/>
    </row>
    <row r="504" spans="1:5" ht="15.75">
      <c r="A504" s="123"/>
      <c r="B504" s="289"/>
      <c r="C504" s="92"/>
      <c r="D504" s="92"/>
      <c r="E504" s="266"/>
    </row>
    <row r="505" spans="1:5" ht="15.75">
      <c r="A505" s="123"/>
      <c r="B505" s="289"/>
      <c r="C505" s="92"/>
      <c r="D505" s="92"/>
      <c r="E505" s="266"/>
    </row>
    <row r="506" spans="1:5" ht="15.75">
      <c r="A506" s="123"/>
      <c r="B506" s="289"/>
      <c r="C506" s="92"/>
      <c r="D506" s="92"/>
      <c r="E506" s="266"/>
    </row>
    <row r="507" spans="1:5" ht="15.75">
      <c r="A507" s="123"/>
      <c r="B507" s="289"/>
      <c r="C507" s="92"/>
      <c r="D507" s="92"/>
      <c r="E507" s="266"/>
    </row>
    <row r="508" spans="1:5" ht="15.75">
      <c r="A508" s="123"/>
      <c r="B508" s="289"/>
      <c r="C508" s="92"/>
      <c r="D508" s="92"/>
      <c r="E508" s="266"/>
    </row>
    <row r="509" spans="1:5" ht="15.75">
      <c r="A509" s="123"/>
      <c r="B509" s="289"/>
      <c r="C509" s="92"/>
      <c r="D509" s="92"/>
      <c r="E509" s="266"/>
    </row>
    <row r="510" spans="1:5" ht="15.75">
      <c r="A510" s="123"/>
      <c r="B510" s="289"/>
      <c r="C510" s="92"/>
      <c r="D510" s="92"/>
      <c r="E510" s="266"/>
    </row>
    <row r="511" spans="1:5" ht="15.75">
      <c r="A511" s="123"/>
      <c r="B511" s="289"/>
      <c r="C511" s="92"/>
      <c r="D511" s="92"/>
      <c r="E511" s="266"/>
    </row>
    <row r="512" spans="1:5" ht="15.75">
      <c r="A512" s="123"/>
      <c r="B512" s="289"/>
      <c r="C512" s="92"/>
      <c r="D512" s="92"/>
      <c r="E512" s="266"/>
    </row>
    <row r="513" spans="1:5" ht="15.75">
      <c r="A513" s="123"/>
      <c r="B513" s="289"/>
      <c r="C513" s="92"/>
      <c r="D513" s="92"/>
      <c r="E513" s="266"/>
    </row>
    <row r="514" spans="1:5" ht="15.75">
      <c r="A514" s="123"/>
      <c r="B514" s="289"/>
      <c r="C514" s="92"/>
      <c r="D514" s="92"/>
      <c r="E514" s="266"/>
    </row>
    <row r="515" spans="1:5" ht="15.75">
      <c r="A515" s="123"/>
      <c r="B515" s="289"/>
      <c r="C515" s="92"/>
      <c r="D515" s="92"/>
      <c r="E515" s="266"/>
    </row>
    <row r="516" spans="1:5" ht="15.75">
      <c r="A516" s="123"/>
      <c r="B516" s="289"/>
      <c r="C516" s="92"/>
      <c r="D516" s="92"/>
      <c r="E516" s="266"/>
    </row>
    <row r="517" spans="1:5" ht="15.75">
      <c r="A517" s="123"/>
      <c r="B517" s="289"/>
      <c r="C517" s="92"/>
      <c r="D517" s="92"/>
      <c r="E517" s="266"/>
    </row>
    <row r="518" spans="1:5" ht="15.75">
      <c r="A518" s="123"/>
      <c r="B518" s="289"/>
      <c r="C518" s="92"/>
      <c r="D518" s="92"/>
      <c r="E518" s="266"/>
    </row>
    <row r="519" spans="1:5" ht="15.75">
      <c r="A519" s="123"/>
      <c r="B519" s="289"/>
      <c r="C519" s="92"/>
      <c r="D519" s="92"/>
      <c r="E519" s="266"/>
    </row>
    <row r="520" spans="1:5" ht="15.75">
      <c r="A520" s="123"/>
      <c r="B520" s="289"/>
      <c r="C520" s="92"/>
      <c r="D520" s="92"/>
      <c r="E520" s="266"/>
    </row>
    <row r="521" spans="1:5" ht="15.75">
      <c r="A521" s="123"/>
      <c r="B521" s="289"/>
      <c r="C521" s="92"/>
      <c r="D521" s="92"/>
      <c r="E521" s="266"/>
    </row>
    <row r="522" spans="1:5" ht="15.75">
      <c r="A522" s="123"/>
      <c r="B522" s="289"/>
      <c r="C522" s="92"/>
      <c r="D522" s="92"/>
      <c r="E522" s="266"/>
    </row>
    <row r="523" spans="1:5" ht="15.75">
      <c r="A523" s="123"/>
      <c r="B523" s="289"/>
      <c r="C523" s="92"/>
      <c r="D523" s="92"/>
      <c r="E523" s="266"/>
    </row>
    <row r="524" spans="1:5" ht="15.75">
      <c r="A524" s="123"/>
      <c r="B524" s="289"/>
      <c r="C524" s="92"/>
      <c r="D524" s="92"/>
      <c r="E524" s="266"/>
    </row>
    <row r="525" spans="1:5" ht="15.75">
      <c r="A525" s="123"/>
      <c r="B525" s="289"/>
      <c r="C525" s="92"/>
      <c r="D525" s="92"/>
      <c r="E525" s="266"/>
    </row>
    <row r="526" spans="1:5" ht="15.75">
      <c r="A526" s="123"/>
      <c r="B526" s="289"/>
      <c r="C526" s="92"/>
      <c r="D526" s="92"/>
      <c r="E526" s="266"/>
    </row>
    <row r="527" spans="1:5" ht="15.75">
      <c r="A527" s="123"/>
      <c r="B527" s="289"/>
      <c r="C527" s="92"/>
      <c r="D527" s="92"/>
      <c r="E527" s="266"/>
    </row>
    <row r="528" spans="1:5" ht="15.75">
      <c r="A528" s="123"/>
      <c r="B528" s="289"/>
      <c r="C528" s="92"/>
      <c r="D528" s="92"/>
      <c r="E528" s="266"/>
    </row>
    <row r="529" spans="1:5" ht="15.75">
      <c r="A529" s="123"/>
      <c r="B529" s="289"/>
      <c r="C529" s="92"/>
      <c r="D529" s="92"/>
      <c r="E529" s="266"/>
    </row>
    <row r="530" spans="1:5" ht="15.75">
      <c r="A530" s="123"/>
      <c r="B530" s="289"/>
      <c r="C530" s="92"/>
      <c r="D530" s="92"/>
      <c r="E530" s="266"/>
    </row>
    <row r="531" spans="1:5" ht="15.75">
      <c r="A531" s="123"/>
      <c r="B531" s="289"/>
      <c r="C531" s="92"/>
      <c r="D531" s="92"/>
      <c r="E531" s="266"/>
    </row>
    <row r="532" spans="1:5" ht="15.75">
      <c r="A532" s="123"/>
      <c r="B532" s="289"/>
      <c r="C532" s="92"/>
      <c r="D532" s="92"/>
      <c r="E532" s="266"/>
    </row>
    <row r="533" spans="1:5" ht="15.75">
      <c r="A533" s="123"/>
      <c r="B533" s="289"/>
      <c r="C533" s="92"/>
      <c r="D533" s="92"/>
      <c r="E533" s="266"/>
    </row>
    <row r="534" spans="1:5" ht="15.75">
      <c r="A534" s="123"/>
      <c r="B534" s="289"/>
      <c r="C534" s="92"/>
      <c r="D534" s="92"/>
      <c r="E534" s="266"/>
    </row>
    <row r="535" spans="1:5" ht="15.75">
      <c r="A535" s="123"/>
      <c r="B535" s="289"/>
      <c r="C535" s="92"/>
      <c r="D535" s="92"/>
      <c r="E535" s="266"/>
    </row>
    <row r="536" spans="1:5" ht="15.75">
      <c r="A536" s="123"/>
      <c r="B536" s="289"/>
      <c r="C536" s="92"/>
      <c r="D536" s="92"/>
      <c r="E536" s="266"/>
    </row>
    <row r="537" spans="1:5" ht="15.75">
      <c r="A537" s="123"/>
      <c r="B537" s="289"/>
      <c r="C537" s="92"/>
      <c r="D537" s="92"/>
      <c r="E537" s="266"/>
    </row>
    <row r="538" spans="1:5" ht="15.75">
      <c r="A538" s="123"/>
      <c r="B538" s="289"/>
      <c r="C538" s="92"/>
      <c r="D538" s="92"/>
      <c r="E538" s="266"/>
    </row>
    <row r="539" spans="1:5" ht="15.75">
      <c r="A539" s="123"/>
      <c r="B539" s="289"/>
      <c r="C539" s="92"/>
      <c r="D539" s="92"/>
      <c r="E539" s="266"/>
    </row>
    <row r="540" spans="1:5" ht="15.75">
      <c r="A540" s="123"/>
      <c r="B540" s="289"/>
      <c r="C540" s="92"/>
      <c r="D540" s="92"/>
      <c r="E540" s="266"/>
    </row>
    <row r="541" spans="1:5" ht="15.75">
      <c r="A541" s="123"/>
      <c r="B541" s="289"/>
      <c r="C541" s="92"/>
      <c r="D541" s="92"/>
      <c r="E541" s="266"/>
    </row>
    <row r="542" spans="1:5" ht="15.75">
      <c r="A542" s="123"/>
      <c r="B542" s="289"/>
      <c r="C542" s="92"/>
      <c r="D542" s="92"/>
      <c r="E542" s="266"/>
    </row>
    <row r="543" spans="1:5" ht="15.75">
      <c r="A543" s="123"/>
      <c r="B543" s="289"/>
      <c r="C543" s="92"/>
      <c r="D543" s="92"/>
      <c r="E543" s="266"/>
    </row>
    <row r="544" spans="1:5" ht="15.75">
      <c r="A544" s="123"/>
      <c r="B544" s="289"/>
      <c r="C544" s="92"/>
      <c r="D544" s="92"/>
      <c r="E544" s="266"/>
    </row>
    <row r="545" spans="1:5" ht="15.75">
      <c r="A545" s="123"/>
      <c r="B545" s="289"/>
      <c r="C545" s="92"/>
      <c r="D545" s="92"/>
      <c r="E545" s="266"/>
    </row>
    <row r="546" spans="1:5" ht="15.75">
      <c r="A546" s="123"/>
      <c r="B546" s="289"/>
      <c r="C546" s="92"/>
      <c r="D546" s="92"/>
      <c r="E546" s="266"/>
    </row>
    <row r="547" spans="1:5" ht="15.75">
      <c r="A547" s="123"/>
      <c r="B547" s="289"/>
      <c r="C547" s="92"/>
      <c r="D547" s="92"/>
      <c r="E547" s="266"/>
    </row>
    <row r="548" spans="1:5" ht="15.75">
      <c r="A548" s="123"/>
      <c r="B548" s="289"/>
      <c r="C548" s="92"/>
      <c r="D548" s="92"/>
      <c r="E548" s="266"/>
    </row>
    <row r="549" spans="1:5" ht="15.75">
      <c r="A549" s="123"/>
      <c r="B549" s="289"/>
      <c r="C549" s="92"/>
      <c r="D549" s="92"/>
      <c r="E549" s="266"/>
    </row>
    <row r="550" spans="1:5" ht="15.75">
      <c r="A550" s="123"/>
      <c r="B550" s="289"/>
      <c r="C550" s="92"/>
      <c r="D550" s="92"/>
      <c r="E550" s="266"/>
    </row>
    <row r="551" spans="1:5" ht="15.75">
      <c r="A551" s="123"/>
      <c r="B551" s="289"/>
      <c r="C551" s="92"/>
      <c r="D551" s="92"/>
      <c r="E551" s="266"/>
    </row>
    <row r="552" spans="1:5" ht="15.75">
      <c r="A552" s="123"/>
      <c r="B552" s="289"/>
      <c r="C552" s="92"/>
      <c r="D552" s="92"/>
      <c r="E552" s="266"/>
    </row>
    <row r="553" spans="1:5" ht="15.75">
      <c r="A553" s="123"/>
      <c r="B553" s="289"/>
      <c r="C553" s="92"/>
      <c r="D553" s="92"/>
      <c r="E553" s="266"/>
    </row>
    <row r="554" spans="1:5" ht="15.75">
      <c r="A554" s="123"/>
      <c r="B554" s="289"/>
      <c r="C554" s="92"/>
      <c r="D554" s="92"/>
      <c r="E554" s="266"/>
    </row>
    <row r="555" spans="1:5" ht="15.75">
      <c r="A555" s="123"/>
      <c r="B555" s="289"/>
      <c r="C555" s="92"/>
      <c r="D555" s="92"/>
      <c r="E555" s="266"/>
    </row>
    <row r="556" spans="1:5" ht="15.75">
      <c r="A556" s="123"/>
      <c r="B556" s="289"/>
      <c r="C556" s="92"/>
      <c r="D556" s="92"/>
      <c r="E556" s="266"/>
    </row>
    <row r="557" spans="1:5" ht="15.75">
      <c r="A557" s="123"/>
      <c r="B557" s="289"/>
      <c r="C557" s="92"/>
      <c r="D557" s="92"/>
      <c r="E557" s="266"/>
    </row>
    <row r="558" spans="1:5" ht="15.75">
      <c r="A558" s="123"/>
      <c r="B558" s="289"/>
      <c r="C558" s="92"/>
      <c r="D558" s="92"/>
      <c r="E558" s="266"/>
    </row>
    <row r="559" spans="1:5" ht="15.75">
      <c r="A559" s="123"/>
      <c r="B559" s="289"/>
      <c r="C559" s="92"/>
      <c r="D559" s="92"/>
      <c r="E559" s="266"/>
    </row>
    <row r="560" spans="1:5" ht="15.75">
      <c r="A560" s="123"/>
      <c r="B560" s="289"/>
      <c r="C560" s="92"/>
      <c r="D560" s="92"/>
      <c r="E560" s="266"/>
    </row>
    <row r="561" spans="1:5" ht="15.75">
      <c r="A561" s="123"/>
      <c r="B561" s="289"/>
      <c r="C561" s="92"/>
      <c r="D561" s="92"/>
      <c r="E561" s="266"/>
    </row>
    <row r="562" spans="1:5" ht="15.75">
      <c r="A562" s="123"/>
      <c r="B562" s="289"/>
      <c r="C562" s="92"/>
      <c r="D562" s="92"/>
      <c r="E562" s="266"/>
    </row>
    <row r="563" spans="1:5" ht="15.75">
      <c r="A563" s="123"/>
      <c r="B563" s="289"/>
      <c r="C563" s="92"/>
      <c r="D563" s="92"/>
      <c r="E563" s="266"/>
    </row>
    <row r="564" spans="1:5" ht="15.75">
      <c r="A564" s="123"/>
      <c r="B564" s="289"/>
      <c r="C564" s="92"/>
      <c r="D564" s="92"/>
      <c r="E564" s="266"/>
    </row>
    <row r="565" spans="1:5" ht="15.75">
      <c r="A565" s="123"/>
      <c r="B565" s="289"/>
      <c r="C565" s="92"/>
      <c r="D565" s="92"/>
      <c r="E565" s="266"/>
    </row>
    <row r="566" spans="1:5" ht="15.75">
      <c r="A566" s="123"/>
      <c r="B566" s="289"/>
      <c r="C566" s="92"/>
      <c r="D566" s="92"/>
      <c r="E566" s="266"/>
    </row>
    <row r="567" spans="1:5" ht="15.75">
      <c r="A567" s="123"/>
      <c r="B567" s="289"/>
      <c r="C567" s="92"/>
      <c r="D567" s="92"/>
      <c r="E567" s="266"/>
    </row>
    <row r="568" spans="1:5" ht="15.75">
      <c r="A568" s="123"/>
      <c r="B568" s="289"/>
      <c r="C568" s="92"/>
      <c r="D568" s="92"/>
      <c r="E568" s="266"/>
    </row>
    <row r="569" spans="1:5" ht="15.75">
      <c r="A569" s="123"/>
      <c r="B569" s="289"/>
      <c r="C569" s="92"/>
      <c r="D569" s="92"/>
      <c r="E569" s="266"/>
    </row>
    <row r="570" spans="1:5" ht="15.75">
      <c r="A570" s="123"/>
      <c r="B570" s="289"/>
      <c r="C570" s="92"/>
      <c r="D570" s="92"/>
      <c r="E570" s="266"/>
    </row>
    <row r="571" spans="1:5" ht="15.75">
      <c r="A571" s="123"/>
      <c r="B571" s="289"/>
      <c r="C571" s="92"/>
      <c r="D571" s="92"/>
      <c r="E571" s="266"/>
    </row>
    <row r="572" spans="1:5" ht="15.75">
      <c r="A572" s="123"/>
      <c r="B572" s="289"/>
      <c r="C572" s="92"/>
      <c r="D572" s="92"/>
      <c r="E572" s="266"/>
    </row>
    <row r="573" spans="1:5" ht="15.75">
      <c r="A573" s="123"/>
      <c r="B573" s="289"/>
      <c r="C573" s="92"/>
      <c r="D573" s="92"/>
      <c r="E573" s="266"/>
    </row>
    <row r="574" spans="1:5" ht="15.75">
      <c r="A574" s="123"/>
      <c r="B574" s="289"/>
      <c r="C574" s="92"/>
      <c r="D574" s="92"/>
      <c r="E574" s="266"/>
    </row>
    <row r="575" spans="1:5" ht="15.75">
      <c r="A575" s="123"/>
      <c r="B575" s="289"/>
      <c r="C575" s="92"/>
      <c r="D575" s="92"/>
      <c r="E575" s="266"/>
    </row>
    <row r="576" spans="1:5" ht="15.75">
      <c r="A576" s="123"/>
      <c r="B576" s="289"/>
      <c r="C576" s="92"/>
      <c r="D576" s="92"/>
      <c r="E576" s="266"/>
    </row>
    <row r="577" spans="1:5" ht="15.75">
      <c r="A577" s="123"/>
      <c r="B577" s="289"/>
      <c r="C577" s="92"/>
      <c r="D577" s="92"/>
      <c r="E577" s="266"/>
    </row>
    <row r="578" spans="1:5" ht="15.75">
      <c r="A578" s="123"/>
      <c r="B578" s="289"/>
      <c r="C578" s="92"/>
      <c r="D578" s="92"/>
      <c r="E578" s="266"/>
    </row>
    <row r="579" spans="1:5" ht="15.75">
      <c r="A579" s="123"/>
      <c r="B579" s="289"/>
      <c r="C579" s="92"/>
      <c r="D579" s="92"/>
      <c r="E579" s="266"/>
    </row>
    <row r="580" spans="1:5" ht="15.75">
      <c r="A580" s="123"/>
      <c r="B580" s="289"/>
      <c r="C580" s="92"/>
      <c r="D580" s="92"/>
      <c r="E580" s="266"/>
    </row>
    <row r="581" spans="1:5" ht="15.75">
      <c r="A581" s="123"/>
      <c r="B581" s="289"/>
      <c r="C581" s="92"/>
      <c r="D581" s="92"/>
      <c r="E581" s="266"/>
    </row>
    <row r="582" spans="1:5" ht="15.75">
      <c r="A582" s="123"/>
      <c r="B582" s="289"/>
      <c r="C582" s="92"/>
      <c r="D582" s="92"/>
      <c r="E582" s="266"/>
    </row>
    <row r="583" spans="1:5" ht="15.75">
      <c r="A583" s="123"/>
      <c r="B583" s="289"/>
      <c r="C583" s="92"/>
      <c r="D583" s="92"/>
      <c r="E583" s="266"/>
    </row>
    <row r="584" spans="1:5" ht="15.75">
      <c r="A584" s="123"/>
      <c r="B584" s="289"/>
      <c r="C584" s="92"/>
      <c r="D584" s="92"/>
      <c r="E584" s="266"/>
    </row>
    <row r="585" spans="1:5" ht="15.75">
      <c r="A585" s="123"/>
      <c r="B585" s="289"/>
      <c r="C585" s="92"/>
      <c r="D585" s="92"/>
      <c r="E585" s="266"/>
    </row>
    <row r="586" spans="1:5" ht="15.75">
      <c r="A586" s="123"/>
      <c r="B586" s="289"/>
      <c r="C586" s="92"/>
      <c r="D586" s="92"/>
      <c r="E586" s="266"/>
    </row>
    <row r="587" spans="1:5" ht="15.75">
      <c r="A587" s="123"/>
      <c r="B587" s="289"/>
      <c r="C587" s="92"/>
      <c r="D587" s="92"/>
      <c r="E587" s="266"/>
    </row>
    <row r="588" spans="1:5" ht="15.75">
      <c r="A588" s="123"/>
      <c r="B588" s="289"/>
      <c r="C588" s="92"/>
      <c r="D588" s="92"/>
      <c r="E588" s="266"/>
    </row>
    <row r="589" spans="1:5" ht="15.75">
      <c r="A589" s="123"/>
      <c r="B589" s="289"/>
      <c r="C589" s="92"/>
      <c r="D589" s="92"/>
      <c r="E589" s="266"/>
    </row>
    <row r="590" spans="1:5" ht="15.75">
      <c r="A590" s="123"/>
      <c r="B590" s="289"/>
      <c r="C590" s="92"/>
      <c r="D590" s="92"/>
      <c r="E590" s="266"/>
    </row>
    <row r="591" spans="1:5" ht="15.75">
      <c r="A591" s="123"/>
      <c r="B591" s="289"/>
      <c r="C591" s="92"/>
      <c r="D591" s="92"/>
      <c r="E591" s="266"/>
    </row>
    <row r="592" spans="1:5" ht="15.75">
      <c r="A592" s="123"/>
      <c r="B592" s="289"/>
      <c r="C592" s="92"/>
      <c r="D592" s="92"/>
      <c r="E592" s="266"/>
    </row>
    <row r="593" spans="1:5" ht="15.75">
      <c r="A593" s="123"/>
      <c r="B593" s="289"/>
      <c r="C593" s="92"/>
      <c r="D593" s="92"/>
      <c r="E593" s="266"/>
    </row>
    <row r="594" spans="1:5" ht="15.75">
      <c r="A594" s="123"/>
      <c r="B594" s="289"/>
      <c r="C594" s="92"/>
      <c r="D594" s="92"/>
      <c r="E594" s="266"/>
    </row>
    <row r="595" spans="1:5" ht="15.75">
      <c r="A595" s="123"/>
      <c r="B595" s="289"/>
      <c r="C595" s="92"/>
      <c r="D595" s="92"/>
      <c r="E595" s="266"/>
    </row>
    <row r="596" spans="1:5" ht="15.75">
      <c r="A596" s="123"/>
      <c r="B596" s="289"/>
      <c r="C596" s="92"/>
      <c r="D596" s="92"/>
      <c r="E596" s="266"/>
    </row>
    <row r="597" spans="1:5" ht="15.75">
      <c r="A597" s="123"/>
      <c r="B597" s="289"/>
      <c r="C597" s="92"/>
      <c r="D597" s="92"/>
      <c r="E597" s="266"/>
    </row>
    <row r="598" spans="1:5" ht="15.75">
      <c r="A598" s="123"/>
      <c r="B598" s="289"/>
      <c r="C598" s="92"/>
      <c r="D598" s="92"/>
      <c r="E598" s="266"/>
    </row>
    <row r="599" spans="1:5" ht="15.75">
      <c r="A599" s="123"/>
      <c r="B599" s="289"/>
      <c r="C599" s="92"/>
      <c r="D599" s="92"/>
      <c r="E599" s="266"/>
    </row>
    <row r="600" spans="1:5" ht="15.75">
      <c r="A600" s="123"/>
      <c r="B600" s="289"/>
      <c r="C600" s="92"/>
      <c r="D600" s="92"/>
      <c r="E600" s="266"/>
    </row>
    <row r="601" spans="1:5" ht="15.75">
      <c r="A601" s="123"/>
      <c r="B601" s="289"/>
      <c r="C601" s="92"/>
      <c r="D601" s="92"/>
      <c r="E601" s="266"/>
    </row>
    <row r="602" spans="1:5" ht="15.75">
      <c r="A602" s="123"/>
      <c r="B602" s="289"/>
      <c r="C602" s="92"/>
      <c r="D602" s="92"/>
      <c r="E602" s="266"/>
    </row>
    <row r="603" spans="1:5" ht="15.75">
      <c r="A603" s="123"/>
      <c r="B603" s="289"/>
      <c r="C603" s="92"/>
      <c r="D603" s="92"/>
      <c r="E603" s="266"/>
    </row>
    <row r="604" spans="1:5" ht="15.75">
      <c r="A604" s="123"/>
      <c r="B604" s="289"/>
      <c r="C604" s="92"/>
      <c r="D604" s="92"/>
      <c r="E604" s="266"/>
    </row>
    <row r="605" spans="1:5" ht="15.75">
      <c r="A605" s="123"/>
      <c r="B605" s="289"/>
      <c r="C605" s="92"/>
      <c r="D605" s="92"/>
      <c r="E605" s="266"/>
    </row>
    <row r="606" spans="1:5" ht="15.75">
      <c r="A606" s="123"/>
      <c r="B606" s="289"/>
      <c r="C606" s="92"/>
      <c r="D606" s="92"/>
      <c r="E606" s="266"/>
    </row>
    <row r="607" spans="1:5" ht="15.75">
      <c r="A607" s="123"/>
      <c r="B607" s="289"/>
      <c r="C607" s="92"/>
      <c r="D607" s="92"/>
      <c r="E607" s="266"/>
    </row>
    <row r="608" spans="1:5" ht="15.75">
      <c r="A608" s="123"/>
      <c r="B608" s="289"/>
      <c r="C608" s="92"/>
      <c r="D608" s="92"/>
      <c r="E608" s="266"/>
    </row>
    <row r="609" spans="1:5" ht="15.75">
      <c r="A609" s="123"/>
      <c r="B609" s="289"/>
      <c r="C609" s="92"/>
      <c r="D609" s="92"/>
      <c r="E609" s="266"/>
    </row>
    <row r="610" spans="1:5" ht="15.75">
      <c r="A610" s="123"/>
      <c r="B610" s="289"/>
      <c r="C610" s="92"/>
      <c r="D610" s="92"/>
      <c r="E610" s="266"/>
    </row>
    <row r="611" spans="1:5" ht="15.75">
      <c r="A611" s="123"/>
      <c r="B611" s="289"/>
      <c r="C611" s="92"/>
      <c r="D611" s="92"/>
      <c r="E611" s="266"/>
    </row>
    <row r="612" spans="1:5" ht="15.75">
      <c r="A612" s="123"/>
      <c r="B612" s="289"/>
      <c r="C612" s="92"/>
      <c r="D612" s="92"/>
      <c r="E612" s="266"/>
    </row>
    <row r="613" spans="1:5" ht="15.75">
      <c r="A613" s="123"/>
      <c r="B613" s="289"/>
      <c r="C613" s="92"/>
      <c r="D613" s="92"/>
      <c r="E613" s="266"/>
    </row>
    <row r="614" spans="1:5" ht="15.75">
      <c r="A614" s="123"/>
      <c r="B614" s="289"/>
      <c r="C614" s="92"/>
      <c r="D614" s="92"/>
      <c r="E614" s="266"/>
    </row>
    <row r="615" spans="1:5" ht="15.75">
      <c r="A615" s="123"/>
      <c r="B615" s="289"/>
      <c r="C615" s="92"/>
      <c r="D615" s="92"/>
      <c r="E615" s="266"/>
    </row>
    <row r="616" spans="1:5" ht="15.75">
      <c r="A616" s="123"/>
      <c r="B616" s="289"/>
      <c r="C616" s="92"/>
      <c r="D616" s="92"/>
      <c r="E616" s="266"/>
    </row>
    <row r="617" spans="1:5" ht="15.75">
      <c r="A617" s="123"/>
      <c r="B617" s="289"/>
      <c r="C617" s="92"/>
      <c r="D617" s="92"/>
      <c r="E617" s="266"/>
    </row>
    <row r="618" spans="1:5" ht="15.75">
      <c r="A618" s="123"/>
      <c r="B618" s="289"/>
      <c r="C618" s="92"/>
      <c r="D618" s="92"/>
      <c r="E618" s="266"/>
    </row>
    <row r="619" spans="1:5" ht="15.75">
      <c r="A619" s="123"/>
      <c r="B619" s="289"/>
      <c r="C619" s="92"/>
      <c r="D619" s="92"/>
      <c r="E619" s="266"/>
    </row>
    <row r="620" spans="1:5" ht="15.75">
      <c r="A620" s="123"/>
      <c r="B620" s="289"/>
      <c r="C620" s="92"/>
      <c r="D620" s="92"/>
      <c r="E620" s="266"/>
    </row>
    <row r="621" spans="1:5" ht="15.75">
      <c r="A621" s="123"/>
      <c r="B621" s="289"/>
      <c r="C621" s="92"/>
      <c r="D621" s="92"/>
      <c r="E621" s="266"/>
    </row>
    <row r="622" spans="1:5" ht="15.75">
      <c r="A622" s="123"/>
      <c r="B622" s="289"/>
      <c r="C622" s="92"/>
      <c r="D622" s="92"/>
      <c r="E622" s="266"/>
    </row>
    <row r="623" spans="1:5" ht="15.75">
      <c r="A623" s="123"/>
      <c r="B623" s="289"/>
      <c r="C623" s="92"/>
      <c r="D623" s="92"/>
      <c r="E623" s="266"/>
    </row>
    <row r="624" spans="1:5" ht="15.75">
      <c r="A624" s="123"/>
      <c r="B624" s="289"/>
      <c r="C624" s="92"/>
      <c r="D624" s="92"/>
      <c r="E624" s="266"/>
    </row>
    <row r="625" spans="1:5" ht="15.75">
      <c r="A625" s="123"/>
      <c r="B625" s="289"/>
      <c r="C625" s="92"/>
      <c r="D625" s="92"/>
      <c r="E625" s="266"/>
    </row>
    <row r="626" spans="1:5" ht="15.75">
      <c r="A626" s="123"/>
      <c r="B626" s="289"/>
      <c r="C626" s="92"/>
      <c r="D626" s="92"/>
      <c r="E626" s="266"/>
    </row>
    <row r="627" spans="1:5" ht="15.75">
      <c r="A627" s="123"/>
      <c r="B627" s="289"/>
      <c r="C627" s="92"/>
      <c r="D627" s="92"/>
      <c r="E627" s="266"/>
    </row>
    <row r="628" spans="1:5" ht="15.75">
      <c r="A628" s="123"/>
      <c r="B628" s="289"/>
      <c r="C628" s="92"/>
      <c r="D628" s="92"/>
      <c r="E628" s="266"/>
    </row>
    <row r="629" spans="1:5" ht="15.75">
      <c r="A629" s="123"/>
      <c r="B629" s="289"/>
      <c r="C629" s="92"/>
      <c r="D629" s="92"/>
      <c r="E629" s="266"/>
    </row>
    <row r="630" spans="1:5" ht="15.75">
      <c r="A630" s="123"/>
      <c r="B630" s="289"/>
      <c r="C630" s="92"/>
      <c r="D630" s="92"/>
      <c r="E630" s="266"/>
    </row>
    <row r="631" spans="1:5" ht="15.75">
      <c r="A631" s="123"/>
      <c r="B631" s="289"/>
      <c r="C631" s="92"/>
      <c r="D631" s="92"/>
      <c r="E631" s="266"/>
    </row>
    <row r="632" spans="1:5" ht="15.75">
      <c r="A632" s="123"/>
      <c r="B632" s="289"/>
      <c r="C632" s="92"/>
      <c r="D632" s="92"/>
      <c r="E632" s="266"/>
    </row>
    <row r="633" spans="1:5" ht="15.75">
      <c r="A633" s="123"/>
      <c r="B633" s="289"/>
      <c r="C633" s="92"/>
      <c r="D633" s="92"/>
      <c r="E633" s="266"/>
    </row>
    <row r="634" spans="1:5" ht="15.75">
      <c r="A634" s="123"/>
      <c r="B634" s="289"/>
      <c r="C634" s="92"/>
      <c r="D634" s="92"/>
      <c r="E634" s="266"/>
    </row>
    <row r="635" spans="1:5" ht="15.75">
      <c r="A635" s="123"/>
      <c r="B635" s="289"/>
      <c r="C635" s="92"/>
      <c r="D635" s="92"/>
      <c r="E635" s="266"/>
    </row>
    <row r="636" spans="1:5" ht="15.75">
      <c r="A636" s="123"/>
      <c r="B636" s="289"/>
      <c r="C636" s="92"/>
      <c r="D636" s="92"/>
      <c r="E636" s="266"/>
    </row>
    <row r="637" spans="1:5" ht="15.75">
      <c r="A637" s="123"/>
      <c r="B637" s="289"/>
      <c r="C637" s="92"/>
      <c r="D637" s="92"/>
      <c r="E637" s="266"/>
    </row>
    <row r="638" spans="1:5" ht="15.75">
      <c r="A638" s="123"/>
      <c r="B638" s="289"/>
      <c r="C638" s="92"/>
      <c r="D638" s="92"/>
      <c r="E638" s="266"/>
    </row>
    <row r="639" spans="1:5" ht="15.75">
      <c r="A639" s="123"/>
      <c r="B639" s="289"/>
      <c r="C639" s="92"/>
      <c r="D639" s="92"/>
      <c r="E639" s="266"/>
    </row>
    <row r="640" spans="1:5" ht="15.75">
      <c r="A640" s="123"/>
      <c r="B640" s="289"/>
      <c r="C640" s="92"/>
      <c r="D640" s="92"/>
      <c r="E640" s="266"/>
    </row>
    <row r="641" spans="1:5" ht="15.75">
      <c r="A641" s="123"/>
      <c r="B641" s="289"/>
      <c r="C641" s="92"/>
      <c r="D641" s="92"/>
      <c r="E641" s="266"/>
    </row>
    <row r="642" spans="1:5" ht="15.75">
      <c r="A642" s="123"/>
      <c r="B642" s="289"/>
      <c r="C642" s="92"/>
      <c r="D642" s="92"/>
      <c r="E642" s="266"/>
    </row>
    <row r="643" spans="1:5" ht="15.75">
      <c r="A643" s="123"/>
      <c r="B643" s="289"/>
      <c r="C643" s="92"/>
      <c r="D643" s="92"/>
      <c r="E643" s="266"/>
    </row>
    <row r="644" spans="1:5" ht="15.75">
      <c r="A644" s="123"/>
      <c r="B644" s="289"/>
      <c r="C644" s="92"/>
      <c r="D644" s="92"/>
      <c r="E644" s="266"/>
    </row>
    <row r="645" spans="1:5" ht="15.75">
      <c r="A645" s="123"/>
      <c r="B645" s="289"/>
      <c r="C645" s="92"/>
      <c r="D645" s="92"/>
      <c r="E645" s="266"/>
    </row>
    <row r="646" spans="1:5" ht="15.75">
      <c r="A646" s="123"/>
      <c r="B646" s="289"/>
      <c r="C646" s="92"/>
      <c r="D646" s="92"/>
      <c r="E646" s="266"/>
    </row>
    <row r="647" spans="1:5" ht="15.75">
      <c r="A647" s="123"/>
      <c r="B647" s="289"/>
      <c r="C647" s="92"/>
      <c r="D647" s="92"/>
      <c r="E647" s="266"/>
    </row>
    <row r="648" spans="1:5" ht="15.75">
      <c r="A648" s="123"/>
      <c r="B648" s="289"/>
      <c r="C648" s="92"/>
      <c r="D648" s="92"/>
      <c r="E648" s="266"/>
    </row>
    <row r="649" spans="1:5" ht="15.75">
      <c r="A649" s="123"/>
      <c r="B649" s="289"/>
      <c r="C649" s="92"/>
      <c r="D649" s="92"/>
      <c r="E649" s="266"/>
    </row>
    <row r="650" spans="1:5" ht="15.75">
      <c r="A650" s="123"/>
      <c r="B650" s="289"/>
      <c r="C650" s="92"/>
      <c r="D650" s="92"/>
      <c r="E650" s="266"/>
    </row>
    <row r="651" spans="1:5" ht="15.75">
      <c r="A651" s="123"/>
      <c r="B651" s="289"/>
      <c r="C651" s="92"/>
      <c r="D651" s="92"/>
      <c r="E651" s="266"/>
    </row>
    <row r="652" spans="1:5" ht="15.75">
      <c r="A652" s="123"/>
      <c r="B652" s="289"/>
      <c r="C652" s="92"/>
      <c r="D652" s="92"/>
      <c r="E652" s="266"/>
    </row>
    <row r="653" spans="1:5" ht="15.75">
      <c r="A653" s="123"/>
      <c r="B653" s="289"/>
      <c r="C653" s="92"/>
      <c r="D653" s="92"/>
      <c r="E653" s="266"/>
    </row>
    <row r="654" spans="1:5" ht="15.75">
      <c r="A654" s="123"/>
      <c r="B654" s="289"/>
      <c r="C654" s="92"/>
      <c r="D654" s="92"/>
      <c r="E654" s="266"/>
    </row>
    <row r="655" spans="1:5" ht="15.75">
      <c r="A655" s="123"/>
      <c r="B655" s="289"/>
      <c r="C655" s="92"/>
      <c r="D655" s="92"/>
      <c r="E655" s="266"/>
    </row>
    <row r="656" spans="1:5" ht="15.75">
      <c r="A656" s="123"/>
      <c r="B656" s="289"/>
      <c r="C656" s="92"/>
      <c r="D656" s="92"/>
      <c r="E656" s="266"/>
    </row>
    <row r="657" spans="1:5" ht="15.75">
      <c r="A657" s="123"/>
      <c r="B657" s="289"/>
      <c r="C657" s="92"/>
      <c r="D657" s="92"/>
      <c r="E657" s="266"/>
    </row>
    <row r="658" spans="1:5" ht="15.75">
      <c r="A658" s="123"/>
      <c r="B658" s="289"/>
      <c r="C658" s="92"/>
      <c r="D658" s="92"/>
      <c r="E658" s="266"/>
    </row>
    <row r="659" spans="1:5" ht="15.75">
      <c r="A659" s="123"/>
      <c r="B659" s="289"/>
      <c r="C659" s="92"/>
      <c r="D659" s="92"/>
      <c r="E659" s="266"/>
    </row>
    <row r="660" spans="1:5" ht="15.75">
      <c r="A660" s="123"/>
      <c r="B660" s="289"/>
      <c r="C660" s="92"/>
      <c r="D660" s="92"/>
      <c r="E660" s="266"/>
    </row>
    <row r="661" spans="1:5" ht="15.75">
      <c r="A661" s="123"/>
      <c r="B661" s="289"/>
      <c r="C661" s="92"/>
      <c r="D661" s="92"/>
      <c r="E661" s="266"/>
    </row>
    <row r="662" spans="1:5" ht="15.75">
      <c r="A662" s="123"/>
      <c r="B662" s="289"/>
      <c r="C662" s="92"/>
      <c r="D662" s="92"/>
      <c r="E662" s="266"/>
    </row>
    <row r="663" spans="1:5" ht="15.75">
      <c r="A663" s="123"/>
      <c r="B663" s="289"/>
      <c r="C663" s="92"/>
      <c r="D663" s="92"/>
      <c r="E663" s="266"/>
    </row>
    <row r="664" spans="1:5" ht="15.75">
      <c r="A664" s="123"/>
      <c r="B664" s="289"/>
      <c r="C664" s="92"/>
      <c r="D664" s="92"/>
      <c r="E664" s="266"/>
    </row>
    <row r="665" spans="1:5" ht="15.75">
      <c r="A665" s="123"/>
      <c r="B665" s="289"/>
      <c r="C665" s="92"/>
      <c r="D665" s="92"/>
      <c r="E665" s="266"/>
    </row>
    <row r="666" spans="1:5" ht="15.75">
      <c r="A666" s="123"/>
      <c r="B666" s="289"/>
      <c r="C666" s="92"/>
      <c r="D666" s="92"/>
      <c r="E666" s="266"/>
    </row>
    <row r="667" spans="1:5" ht="15.75">
      <c r="A667" s="123"/>
      <c r="B667" s="289"/>
      <c r="C667" s="92"/>
      <c r="D667" s="92"/>
      <c r="E667" s="266"/>
    </row>
    <row r="668" spans="1:5" ht="15.75">
      <c r="A668" s="123"/>
      <c r="B668" s="289"/>
      <c r="C668" s="92"/>
      <c r="D668" s="92"/>
      <c r="E668" s="266"/>
    </row>
    <row r="669" spans="1:5" ht="15.75">
      <c r="A669" s="123"/>
      <c r="B669" s="289"/>
      <c r="C669" s="92"/>
      <c r="D669" s="92"/>
      <c r="E669" s="266"/>
    </row>
    <row r="670" spans="1:5" ht="15.75">
      <c r="A670" s="123"/>
      <c r="B670" s="289"/>
      <c r="C670" s="92"/>
      <c r="D670" s="92"/>
      <c r="E670" s="266"/>
    </row>
    <row r="671" spans="1:5" ht="15.75">
      <c r="A671" s="123"/>
      <c r="B671" s="289"/>
      <c r="C671" s="92"/>
      <c r="D671" s="92"/>
      <c r="E671" s="266"/>
    </row>
    <row r="672" spans="1:5" ht="15.75">
      <c r="A672" s="123"/>
      <c r="B672" s="289"/>
      <c r="C672" s="92"/>
      <c r="D672" s="92"/>
      <c r="E672" s="266"/>
    </row>
    <row r="673" spans="1:5" ht="15.75">
      <c r="A673" s="123"/>
      <c r="B673" s="289"/>
      <c r="C673" s="92"/>
      <c r="D673" s="92"/>
      <c r="E673" s="266"/>
    </row>
    <row r="674" spans="1:5" ht="15.75">
      <c r="A674" s="123"/>
      <c r="B674" s="289"/>
      <c r="C674" s="92"/>
      <c r="D674" s="92"/>
      <c r="E674" s="266"/>
    </row>
    <row r="675" spans="1:5" ht="15.75">
      <c r="A675" s="123"/>
      <c r="B675" s="289"/>
      <c r="C675" s="92"/>
      <c r="D675" s="92"/>
      <c r="E675" s="266"/>
    </row>
    <row r="676" spans="1:5" ht="15.75">
      <c r="A676" s="123"/>
      <c r="B676" s="289"/>
      <c r="C676" s="92"/>
      <c r="D676" s="92"/>
      <c r="E676" s="266"/>
    </row>
    <row r="677" spans="1:5" ht="15.75">
      <c r="A677" s="123"/>
      <c r="B677" s="289"/>
      <c r="C677" s="92"/>
      <c r="D677" s="92"/>
      <c r="E677" s="266"/>
    </row>
    <row r="678" spans="1:5" ht="15.75">
      <c r="A678" s="123"/>
      <c r="B678" s="289"/>
      <c r="C678" s="92"/>
      <c r="D678" s="92"/>
      <c r="E678" s="266"/>
    </row>
    <row r="679" spans="1:5" ht="15.75">
      <c r="A679" s="123"/>
      <c r="B679" s="289"/>
      <c r="C679" s="92"/>
      <c r="D679" s="92"/>
      <c r="E679" s="266"/>
    </row>
    <row r="680" spans="1:5" ht="15.75">
      <c r="A680" s="123"/>
      <c r="B680" s="289"/>
      <c r="C680" s="92"/>
      <c r="D680" s="92"/>
      <c r="E680" s="266"/>
    </row>
    <row r="681" spans="1:5" ht="15.75">
      <c r="A681" s="123"/>
      <c r="B681" s="289"/>
      <c r="C681" s="92"/>
      <c r="D681" s="92"/>
      <c r="E681" s="266"/>
    </row>
    <row r="682" spans="1:5" ht="15.75">
      <c r="A682" s="123"/>
      <c r="B682" s="289"/>
      <c r="C682" s="92"/>
      <c r="D682" s="92"/>
      <c r="E682" s="266"/>
    </row>
    <row r="683" spans="1:5" ht="15.75">
      <c r="A683" s="123"/>
      <c r="B683" s="289"/>
      <c r="C683" s="92"/>
      <c r="D683" s="92"/>
      <c r="E683" s="266"/>
    </row>
    <row r="684" spans="1:5" ht="15.75">
      <c r="A684" s="123"/>
      <c r="B684" s="289"/>
      <c r="C684" s="92"/>
      <c r="D684" s="92"/>
      <c r="E684" s="266"/>
    </row>
    <row r="685" spans="1:5" ht="15.75">
      <c r="A685" s="123"/>
      <c r="B685" s="289"/>
      <c r="C685" s="92"/>
      <c r="D685" s="92"/>
      <c r="E685" s="266"/>
    </row>
    <row r="686" spans="1:5" ht="15.75">
      <c r="A686" s="123"/>
      <c r="B686" s="289"/>
      <c r="C686" s="92"/>
      <c r="D686" s="92"/>
      <c r="E686" s="266"/>
    </row>
    <row r="687" spans="1:5" ht="15.75">
      <c r="A687" s="123"/>
      <c r="B687" s="289"/>
      <c r="C687" s="92"/>
      <c r="D687" s="92"/>
      <c r="E687" s="266"/>
    </row>
    <row r="688" spans="1:5" ht="15.75">
      <c r="A688" s="123"/>
      <c r="B688" s="289"/>
      <c r="C688" s="92"/>
      <c r="D688" s="92"/>
      <c r="E688" s="266"/>
    </row>
    <row r="689" spans="1:5" ht="15.75">
      <c r="A689" s="123"/>
      <c r="B689" s="289"/>
      <c r="C689" s="92"/>
      <c r="D689" s="92"/>
      <c r="E689" s="266"/>
    </row>
    <row r="690" spans="1:5" ht="15.75">
      <c r="A690" s="123"/>
      <c r="B690" s="289"/>
      <c r="C690" s="92"/>
      <c r="D690" s="92"/>
      <c r="E690" s="266"/>
    </row>
    <row r="691" spans="1:5" ht="15.75">
      <c r="A691" s="123"/>
      <c r="B691" s="289"/>
      <c r="C691" s="92"/>
      <c r="D691" s="92"/>
      <c r="E691" s="266"/>
    </row>
    <row r="692" spans="1:5" ht="15.75">
      <c r="A692" s="123"/>
      <c r="B692" s="289"/>
      <c r="C692" s="92"/>
      <c r="D692" s="92"/>
      <c r="E692" s="266"/>
    </row>
    <row r="693" spans="1:5" ht="15.75">
      <c r="A693" s="123"/>
      <c r="B693" s="289"/>
      <c r="C693" s="92"/>
      <c r="D693" s="92"/>
      <c r="E693" s="266"/>
    </row>
    <row r="694" spans="1:5" ht="15.75">
      <c r="A694" s="123"/>
      <c r="B694" s="289"/>
      <c r="C694" s="92"/>
      <c r="D694" s="92"/>
      <c r="E694" s="266"/>
    </row>
    <row r="695" spans="1:5" ht="15.75">
      <c r="A695" s="123"/>
      <c r="B695" s="289"/>
      <c r="C695" s="92"/>
      <c r="D695" s="92"/>
      <c r="E695" s="266"/>
    </row>
    <row r="696" spans="1:5" ht="15.75">
      <c r="A696" s="123"/>
      <c r="B696" s="289"/>
      <c r="C696" s="92"/>
      <c r="D696" s="92"/>
      <c r="E696" s="266"/>
    </row>
    <row r="697" spans="1:5" ht="15.75">
      <c r="A697" s="123"/>
      <c r="B697" s="289"/>
      <c r="C697" s="92"/>
      <c r="D697" s="92"/>
      <c r="E697" s="266"/>
    </row>
    <row r="698" spans="1:5" ht="15.75">
      <c r="A698" s="123"/>
      <c r="B698" s="289"/>
      <c r="C698" s="92"/>
      <c r="D698" s="92"/>
      <c r="E698" s="266"/>
    </row>
    <row r="699" spans="1:5" ht="15.75">
      <c r="A699" s="123"/>
      <c r="B699" s="289"/>
      <c r="C699" s="92"/>
      <c r="D699" s="92"/>
      <c r="E699" s="266"/>
    </row>
    <row r="700" spans="1:5" ht="15.75">
      <c r="A700" s="123"/>
      <c r="B700" s="289"/>
      <c r="C700" s="92"/>
      <c r="D700" s="92"/>
      <c r="E700" s="266"/>
    </row>
    <row r="701" spans="1:5" ht="15.75">
      <c r="A701" s="123"/>
      <c r="B701" s="289"/>
      <c r="C701" s="92"/>
      <c r="D701" s="92"/>
      <c r="E701" s="266"/>
    </row>
    <row r="702" spans="1:5" ht="15.75">
      <c r="A702" s="123"/>
      <c r="B702" s="289"/>
      <c r="C702" s="92"/>
      <c r="D702" s="92"/>
      <c r="E702" s="266"/>
    </row>
    <row r="703" spans="1:5" ht="15.75">
      <c r="A703" s="123"/>
      <c r="B703" s="289"/>
      <c r="C703" s="92"/>
      <c r="D703" s="92"/>
      <c r="E703" s="266"/>
    </row>
    <row r="704" spans="1:5" ht="15.75">
      <c r="A704" s="123"/>
      <c r="B704" s="289"/>
      <c r="C704" s="92"/>
      <c r="D704" s="92"/>
      <c r="E704" s="266"/>
    </row>
    <row r="705" spans="1:5" ht="15.75">
      <c r="A705" s="123"/>
      <c r="B705" s="289"/>
      <c r="C705" s="92"/>
      <c r="D705" s="92"/>
      <c r="E705" s="266"/>
    </row>
    <row r="706" spans="1:5" ht="15.75">
      <c r="A706" s="123"/>
      <c r="B706" s="289"/>
      <c r="C706" s="92"/>
      <c r="D706" s="92"/>
      <c r="E706" s="266"/>
    </row>
    <row r="707" spans="1:5" ht="15.75">
      <c r="A707" s="123"/>
      <c r="B707" s="289"/>
      <c r="C707" s="92"/>
      <c r="D707" s="92"/>
      <c r="E707" s="266"/>
    </row>
    <row r="708" spans="1:5" ht="15.75">
      <c r="A708" s="123"/>
      <c r="B708" s="289"/>
      <c r="C708" s="92"/>
      <c r="D708" s="92"/>
      <c r="E708" s="266"/>
    </row>
    <row r="709" spans="1:5" ht="15.75">
      <c r="A709" s="123"/>
      <c r="B709" s="289"/>
      <c r="C709" s="92"/>
      <c r="D709" s="92"/>
      <c r="E709" s="266"/>
    </row>
    <row r="710" spans="1:5" ht="15.75">
      <c r="A710" s="123"/>
      <c r="B710" s="289"/>
      <c r="C710" s="92"/>
      <c r="D710" s="92"/>
      <c r="E710" s="266"/>
    </row>
    <row r="711" spans="1:5" ht="15.75">
      <c r="A711" s="123"/>
      <c r="B711" s="289"/>
      <c r="C711" s="92"/>
      <c r="D711" s="92"/>
      <c r="E711" s="266"/>
    </row>
    <row r="712" spans="1:5" ht="15.75">
      <c r="A712" s="123"/>
      <c r="B712" s="289"/>
      <c r="C712" s="92"/>
      <c r="D712" s="92"/>
      <c r="E712" s="266"/>
    </row>
    <row r="713" spans="1:5" ht="15.75">
      <c r="A713" s="123"/>
      <c r="B713" s="289"/>
      <c r="C713" s="92"/>
      <c r="D713" s="92"/>
      <c r="E713" s="266"/>
    </row>
    <row r="714" spans="1:5" ht="15.75">
      <c r="A714" s="123"/>
      <c r="B714" s="289"/>
      <c r="C714" s="92"/>
      <c r="D714" s="92"/>
      <c r="E714" s="266"/>
    </row>
    <row r="715" spans="1:5" ht="15.75">
      <c r="A715" s="123"/>
      <c r="B715" s="289"/>
      <c r="C715" s="92"/>
      <c r="D715" s="92"/>
      <c r="E715" s="266"/>
    </row>
    <row r="716" spans="1:5" ht="15.75">
      <c r="A716" s="123"/>
      <c r="B716" s="289"/>
      <c r="C716" s="92"/>
      <c r="D716" s="92"/>
      <c r="E716" s="266"/>
    </row>
    <row r="717" spans="1:5" ht="15.75">
      <c r="A717" s="123"/>
      <c r="B717" s="289"/>
      <c r="C717" s="92"/>
      <c r="D717" s="92"/>
      <c r="E717" s="266"/>
    </row>
    <row r="718" spans="1:5" ht="15.75">
      <c r="A718" s="123"/>
      <c r="B718" s="289"/>
      <c r="C718" s="92"/>
      <c r="D718" s="92"/>
      <c r="E718" s="266"/>
    </row>
    <row r="719" spans="1:5" ht="15.75">
      <c r="A719" s="123"/>
      <c r="B719" s="289"/>
      <c r="C719" s="92"/>
      <c r="D719" s="92"/>
      <c r="E719" s="266"/>
    </row>
    <row r="720" spans="1:5" ht="15.75">
      <c r="A720" s="123"/>
      <c r="B720" s="289"/>
      <c r="C720" s="92"/>
      <c r="D720" s="92"/>
      <c r="E720" s="266"/>
    </row>
    <row r="721" spans="1:5" ht="15.75">
      <c r="A721" s="123"/>
      <c r="B721" s="289"/>
      <c r="C721" s="92"/>
      <c r="D721" s="92"/>
      <c r="E721" s="266"/>
    </row>
    <row r="722" spans="1:5" ht="15.75">
      <c r="A722" s="123"/>
      <c r="B722" s="289"/>
      <c r="C722" s="92"/>
      <c r="D722" s="92"/>
      <c r="E722" s="266"/>
    </row>
    <row r="723" spans="1:5" ht="15.75">
      <c r="A723" s="123"/>
      <c r="B723" s="289"/>
      <c r="C723" s="92"/>
      <c r="D723" s="92"/>
      <c r="E723" s="266"/>
    </row>
    <row r="724" spans="1:5" ht="15.75">
      <c r="A724" s="123"/>
      <c r="B724" s="289"/>
      <c r="C724" s="92"/>
      <c r="D724" s="92"/>
      <c r="E724" s="266"/>
    </row>
    <row r="725" spans="1:5" ht="15.75">
      <c r="A725" s="123"/>
      <c r="B725" s="289"/>
      <c r="C725" s="92"/>
      <c r="D725" s="92"/>
      <c r="E725" s="266"/>
    </row>
    <row r="726" spans="1:5" ht="15.75">
      <c r="A726" s="123"/>
      <c r="B726" s="289"/>
      <c r="C726" s="92"/>
      <c r="D726" s="92"/>
      <c r="E726" s="266"/>
    </row>
    <row r="727" spans="1:5" ht="15.75">
      <c r="A727" s="123"/>
      <c r="B727" s="289"/>
      <c r="C727" s="92"/>
      <c r="D727" s="92"/>
      <c r="E727" s="266"/>
    </row>
    <row r="728" spans="1:5" ht="15.75">
      <c r="A728" s="123"/>
      <c r="B728" s="289"/>
      <c r="C728" s="92"/>
      <c r="D728" s="92"/>
      <c r="E728" s="266"/>
    </row>
    <row r="729" spans="1:5" ht="15.75">
      <c r="A729" s="123"/>
      <c r="B729" s="289"/>
      <c r="C729" s="92"/>
      <c r="D729" s="92"/>
      <c r="E729" s="266"/>
    </row>
    <row r="730" spans="1:5" ht="15.75">
      <c r="A730" s="123"/>
      <c r="B730" s="289"/>
      <c r="C730" s="92"/>
      <c r="D730" s="92"/>
      <c r="E730" s="266"/>
    </row>
    <row r="731" spans="1:5" ht="15.75">
      <c r="A731" s="123"/>
      <c r="B731" s="289"/>
      <c r="C731" s="92"/>
      <c r="D731" s="92"/>
      <c r="E731" s="266"/>
    </row>
    <row r="732" spans="1:5" ht="15.75">
      <c r="A732" s="123"/>
      <c r="B732" s="289"/>
      <c r="C732" s="92"/>
      <c r="D732" s="92"/>
      <c r="E732" s="266"/>
    </row>
    <row r="733" spans="1:5" ht="15.75">
      <c r="A733" s="123"/>
      <c r="B733" s="289"/>
      <c r="C733" s="92"/>
      <c r="D733" s="92"/>
      <c r="E733" s="266"/>
    </row>
    <row r="734" spans="1:5" ht="15.75">
      <c r="A734" s="123"/>
      <c r="B734" s="289"/>
      <c r="C734" s="92"/>
      <c r="D734" s="92"/>
      <c r="E734" s="266"/>
    </row>
    <row r="735" spans="1:5" ht="15.75">
      <c r="A735" s="123"/>
      <c r="B735" s="289"/>
      <c r="C735" s="92"/>
      <c r="D735" s="92"/>
      <c r="E735" s="266"/>
    </row>
    <row r="736" spans="1:5" ht="15.75">
      <c r="A736" s="123"/>
      <c r="B736" s="289"/>
      <c r="C736" s="92"/>
      <c r="D736" s="92"/>
      <c r="E736" s="266"/>
    </row>
    <row r="737" spans="1:5" ht="15.75">
      <c r="A737" s="123"/>
      <c r="B737" s="289"/>
      <c r="C737" s="92"/>
      <c r="D737" s="92"/>
      <c r="E737" s="266"/>
    </row>
    <row r="738" spans="1:5" ht="15.75">
      <c r="A738" s="123"/>
      <c r="B738" s="289"/>
      <c r="C738" s="92"/>
      <c r="D738" s="92"/>
      <c r="E738" s="266"/>
    </row>
    <row r="739" spans="1:5" ht="15.75">
      <c r="A739" s="123"/>
      <c r="B739" s="289"/>
      <c r="C739" s="92"/>
      <c r="D739" s="92"/>
      <c r="E739" s="266"/>
    </row>
    <row r="740" spans="1:5" ht="15.75">
      <c r="A740" s="123"/>
      <c r="B740" s="289"/>
      <c r="C740" s="92"/>
      <c r="D740" s="92"/>
      <c r="E740" s="266"/>
    </row>
    <row r="741" spans="1:5" ht="15.75">
      <c r="A741" s="123"/>
      <c r="B741" s="289"/>
      <c r="C741" s="92"/>
      <c r="D741" s="92"/>
      <c r="E741" s="266"/>
    </row>
    <row r="742" spans="1:5" ht="15.75">
      <c r="A742" s="123"/>
      <c r="B742" s="289"/>
      <c r="C742" s="92"/>
      <c r="D742" s="92"/>
      <c r="E742" s="266"/>
    </row>
    <row r="743" spans="1:5" ht="15.75">
      <c r="A743" s="123"/>
      <c r="B743" s="289"/>
      <c r="C743" s="92"/>
      <c r="D743" s="92"/>
      <c r="E743" s="266"/>
    </row>
    <row r="744" spans="1:5" ht="15.75">
      <c r="A744" s="123"/>
      <c r="B744" s="289"/>
      <c r="C744" s="92"/>
      <c r="D744" s="92"/>
      <c r="E744" s="266"/>
    </row>
    <row r="745" spans="1:5" ht="15.75">
      <c r="A745" s="123"/>
      <c r="B745" s="289"/>
      <c r="C745" s="92"/>
      <c r="D745" s="92"/>
      <c r="E745" s="266"/>
    </row>
    <row r="746" spans="1:5" ht="15.75">
      <c r="A746" s="123"/>
      <c r="B746" s="289"/>
      <c r="C746" s="92"/>
      <c r="D746" s="92"/>
      <c r="E746" s="266"/>
    </row>
    <row r="747" spans="1:5" ht="15.75">
      <c r="A747" s="123"/>
      <c r="B747" s="289"/>
      <c r="C747" s="92"/>
      <c r="D747" s="92"/>
      <c r="E747" s="266"/>
    </row>
    <row r="748" spans="1:5" ht="15.75">
      <c r="A748" s="123"/>
      <c r="B748" s="289"/>
      <c r="C748" s="92"/>
      <c r="D748" s="92"/>
      <c r="E748" s="266"/>
    </row>
    <row r="749" spans="1:5" ht="15.75">
      <c r="A749" s="123"/>
      <c r="B749" s="289"/>
      <c r="C749" s="92"/>
      <c r="D749" s="92"/>
      <c r="E749" s="266"/>
    </row>
    <row r="750" spans="1:5" ht="15.75">
      <c r="A750" s="123"/>
      <c r="B750" s="289"/>
      <c r="C750" s="92"/>
      <c r="D750" s="92"/>
      <c r="E750" s="266"/>
    </row>
    <row r="751" spans="1:5" ht="15.75">
      <c r="A751" s="123"/>
      <c r="B751" s="289"/>
      <c r="C751" s="92"/>
      <c r="D751" s="92"/>
      <c r="E751" s="266"/>
    </row>
    <row r="752" spans="1:5" ht="15.75">
      <c r="A752" s="123"/>
      <c r="B752" s="289"/>
      <c r="C752" s="92"/>
      <c r="D752" s="92"/>
      <c r="E752" s="266"/>
    </row>
    <row r="753" spans="1:5" ht="15.75">
      <c r="A753" s="123"/>
      <c r="B753" s="289"/>
      <c r="C753" s="92"/>
      <c r="D753" s="92"/>
      <c r="E753" s="266"/>
    </row>
    <row r="754" spans="1:5" ht="15.75">
      <c r="A754" s="123"/>
      <c r="B754" s="289"/>
      <c r="C754" s="92"/>
      <c r="D754" s="92"/>
      <c r="E754" s="266"/>
    </row>
    <row r="755" spans="1:5" ht="15.75">
      <c r="A755" s="123"/>
      <c r="B755" s="289"/>
      <c r="C755" s="92"/>
      <c r="D755" s="92"/>
      <c r="E755" s="266"/>
    </row>
    <row r="756" spans="1:5" ht="15.75">
      <c r="A756" s="123"/>
      <c r="B756" s="289"/>
      <c r="C756" s="92"/>
      <c r="D756" s="92"/>
      <c r="E756" s="266"/>
    </row>
    <row r="757" spans="1:5" ht="15.75">
      <c r="A757" s="123"/>
      <c r="B757" s="289"/>
      <c r="C757" s="92"/>
      <c r="D757" s="92"/>
      <c r="E757" s="266"/>
    </row>
    <row r="758" spans="1:5" ht="15.75">
      <c r="A758" s="123"/>
      <c r="B758" s="289"/>
      <c r="C758" s="92"/>
      <c r="D758" s="92"/>
      <c r="E758" s="266"/>
    </row>
    <row r="759" spans="1:5" ht="15.75">
      <c r="A759" s="123"/>
      <c r="B759" s="289"/>
      <c r="C759" s="92"/>
      <c r="D759" s="92"/>
      <c r="E759" s="266"/>
    </row>
    <row r="760" spans="1:5" ht="15.75">
      <c r="A760" s="123"/>
      <c r="B760" s="289"/>
      <c r="C760" s="92"/>
      <c r="D760" s="92"/>
      <c r="E760" s="266"/>
    </row>
    <row r="761" spans="1:5" ht="15.75">
      <c r="A761" s="123"/>
      <c r="B761" s="289"/>
      <c r="C761" s="92"/>
      <c r="D761" s="92"/>
      <c r="E761" s="266"/>
    </row>
    <row r="762" spans="1:5" ht="15.75">
      <c r="A762" s="123"/>
      <c r="B762" s="289"/>
      <c r="C762" s="92"/>
      <c r="D762" s="92"/>
      <c r="E762" s="266"/>
    </row>
    <row r="763" spans="1:5" ht="15.75">
      <c r="A763" s="123"/>
      <c r="B763" s="289"/>
      <c r="C763" s="92"/>
      <c r="D763" s="92"/>
      <c r="E763" s="266"/>
    </row>
    <row r="764" spans="1:5" ht="15.75">
      <c r="A764" s="123"/>
      <c r="B764" s="289"/>
      <c r="C764" s="92"/>
      <c r="D764" s="92"/>
      <c r="E764" s="266"/>
    </row>
    <row r="765" spans="1:5" ht="15.75">
      <c r="A765" s="123"/>
      <c r="B765" s="289"/>
      <c r="C765" s="92"/>
      <c r="D765" s="92"/>
      <c r="E765" s="266"/>
    </row>
    <row r="766" spans="1:5" ht="15.75">
      <c r="A766" s="123"/>
      <c r="B766" s="289"/>
      <c r="C766" s="92"/>
      <c r="D766" s="92"/>
      <c r="E766" s="266"/>
    </row>
    <row r="767" spans="1:5" ht="15.75">
      <c r="A767" s="123"/>
      <c r="B767" s="289"/>
      <c r="C767" s="92"/>
      <c r="D767" s="92"/>
      <c r="E767" s="266"/>
    </row>
    <row r="768" spans="1:5" ht="15.75">
      <c r="A768" s="123"/>
      <c r="B768" s="289"/>
      <c r="C768" s="92"/>
      <c r="D768" s="92"/>
      <c r="E768" s="266"/>
    </row>
    <row r="769" spans="1:5" ht="15.75">
      <c r="A769" s="123"/>
      <c r="B769" s="289"/>
      <c r="C769" s="92"/>
      <c r="D769" s="92"/>
      <c r="E769" s="266"/>
    </row>
    <row r="770" spans="1:5" ht="15.75">
      <c r="A770" s="123"/>
      <c r="B770" s="289"/>
      <c r="C770" s="92"/>
      <c r="D770" s="92"/>
      <c r="E770" s="266"/>
    </row>
    <row r="771" spans="1:5" ht="15.75">
      <c r="A771" s="123"/>
      <c r="B771" s="289"/>
      <c r="C771" s="92"/>
      <c r="D771" s="92"/>
      <c r="E771" s="266"/>
    </row>
    <row r="772" spans="1:5" ht="15.75">
      <c r="A772" s="123"/>
      <c r="B772" s="289"/>
      <c r="C772" s="92"/>
      <c r="D772" s="92"/>
      <c r="E772" s="266"/>
    </row>
    <row r="773" spans="1:5" ht="15.75">
      <c r="A773" s="123"/>
      <c r="B773" s="289"/>
      <c r="C773" s="92"/>
      <c r="D773" s="92"/>
      <c r="E773" s="266"/>
    </row>
    <row r="774" spans="1:5" ht="15.75">
      <c r="A774" s="123"/>
      <c r="B774" s="289"/>
      <c r="C774" s="92"/>
      <c r="D774" s="92"/>
      <c r="E774" s="266"/>
    </row>
    <row r="775" spans="1:5" ht="15.75">
      <c r="A775" s="123"/>
      <c r="B775" s="289"/>
      <c r="C775" s="92"/>
      <c r="D775" s="92"/>
      <c r="E775" s="266"/>
    </row>
    <row r="776" spans="1:5" ht="15.75">
      <c r="A776" s="123"/>
      <c r="B776" s="289"/>
      <c r="C776" s="92"/>
      <c r="D776" s="92"/>
      <c r="E776" s="266"/>
    </row>
    <row r="777" spans="1:5" ht="15.75">
      <c r="A777" s="123"/>
      <c r="B777" s="289"/>
      <c r="C777" s="92"/>
      <c r="D777" s="92"/>
      <c r="E777" s="266"/>
    </row>
    <row r="778" spans="1:5" ht="15.75">
      <c r="A778" s="123"/>
      <c r="B778" s="289"/>
      <c r="C778" s="92"/>
      <c r="D778" s="92"/>
      <c r="E778" s="266"/>
    </row>
    <row r="779" spans="1:5" ht="15.75">
      <c r="A779" s="123"/>
      <c r="B779" s="289"/>
      <c r="C779" s="92"/>
      <c r="D779" s="92"/>
      <c r="E779" s="266"/>
    </row>
    <row r="780" spans="1:5" ht="15.75">
      <c r="A780" s="123"/>
      <c r="B780" s="289"/>
      <c r="C780" s="92"/>
      <c r="D780" s="92"/>
      <c r="E780" s="266"/>
    </row>
    <row r="781" spans="1:5" ht="15.75">
      <c r="A781" s="123"/>
      <c r="B781" s="289"/>
      <c r="C781" s="92"/>
      <c r="D781" s="92"/>
      <c r="E781" s="266"/>
    </row>
    <row r="782" spans="1:5" ht="15.75">
      <c r="A782" s="123"/>
      <c r="B782" s="289"/>
      <c r="C782" s="92"/>
      <c r="D782" s="92"/>
      <c r="E782" s="266"/>
    </row>
    <row r="783" spans="1:5" ht="15.75">
      <c r="A783" s="123"/>
      <c r="B783" s="289"/>
      <c r="C783" s="92"/>
      <c r="D783" s="92"/>
      <c r="E783" s="266"/>
    </row>
    <row r="784" spans="1:5" ht="15.75">
      <c r="A784" s="123"/>
      <c r="B784" s="289"/>
      <c r="C784" s="92"/>
      <c r="D784" s="92"/>
      <c r="E784" s="266"/>
    </row>
    <row r="785" spans="1:5" ht="15.75">
      <c r="A785" s="123"/>
      <c r="B785" s="289"/>
      <c r="C785" s="92"/>
      <c r="D785" s="92"/>
      <c r="E785" s="266"/>
    </row>
    <row r="786" spans="1:5" ht="15.75">
      <c r="A786" s="123"/>
      <c r="B786" s="289"/>
      <c r="C786" s="92"/>
      <c r="D786" s="92"/>
      <c r="E786" s="266"/>
    </row>
    <row r="787" spans="1:5" ht="15.75">
      <c r="A787" s="123"/>
      <c r="B787" s="289"/>
      <c r="C787" s="92"/>
      <c r="D787" s="92"/>
      <c r="E787" s="266"/>
    </row>
    <row r="788" spans="1:5" ht="15.75">
      <c r="A788" s="123"/>
      <c r="B788" s="289"/>
      <c r="C788" s="92"/>
      <c r="D788" s="92"/>
      <c r="E788" s="266"/>
    </row>
    <row r="789" spans="1:5" ht="15.75">
      <c r="A789" s="123"/>
      <c r="B789" s="289"/>
      <c r="C789" s="92"/>
      <c r="D789" s="92"/>
      <c r="E789" s="266"/>
    </row>
    <row r="790" spans="1:5" ht="15.75">
      <c r="A790" s="123"/>
      <c r="B790" s="289"/>
      <c r="C790" s="92"/>
      <c r="D790" s="92"/>
      <c r="E790" s="266"/>
    </row>
    <row r="791" spans="1:5" ht="15.75">
      <c r="A791" s="123"/>
      <c r="B791" s="289"/>
      <c r="C791" s="92"/>
      <c r="D791" s="92"/>
      <c r="E791" s="266"/>
    </row>
    <row r="792" spans="1:5" ht="15.75">
      <c r="A792" s="123"/>
      <c r="B792" s="289"/>
      <c r="C792" s="92"/>
      <c r="D792" s="92"/>
      <c r="E792" s="266"/>
    </row>
    <row r="793" spans="1:5" ht="15.75">
      <c r="A793" s="123"/>
      <c r="B793" s="289"/>
      <c r="C793" s="92"/>
      <c r="D793" s="92"/>
      <c r="E793" s="266"/>
    </row>
    <row r="794" spans="1:5" ht="15.75">
      <c r="A794" s="123"/>
      <c r="B794" s="289"/>
      <c r="C794" s="92"/>
      <c r="D794" s="92"/>
      <c r="E794" s="266"/>
    </row>
    <row r="795" spans="1:5" ht="15.75">
      <c r="A795" s="123"/>
      <c r="B795" s="289"/>
      <c r="C795" s="92"/>
      <c r="D795" s="92"/>
      <c r="E795" s="266"/>
    </row>
    <row r="796" spans="1:5" ht="15.75">
      <c r="A796" s="123"/>
      <c r="B796" s="289"/>
      <c r="C796" s="92"/>
      <c r="D796" s="92"/>
      <c r="E796" s="266"/>
    </row>
    <row r="797" spans="1:5" ht="15.75">
      <c r="A797" s="123"/>
      <c r="B797" s="289"/>
      <c r="C797" s="92"/>
      <c r="D797" s="92"/>
      <c r="E797" s="266"/>
    </row>
    <row r="798" spans="1:5" ht="15.75">
      <c r="A798" s="123"/>
      <c r="B798" s="289"/>
      <c r="C798" s="92"/>
      <c r="D798" s="92"/>
      <c r="E798" s="266"/>
    </row>
    <row r="799" spans="1:5" ht="15.75">
      <c r="A799" s="123"/>
      <c r="B799" s="289"/>
      <c r="C799" s="92"/>
      <c r="D799" s="92"/>
      <c r="E799" s="266"/>
    </row>
    <row r="800" spans="1:5" ht="15.75">
      <c r="A800" s="123"/>
      <c r="B800" s="289"/>
      <c r="C800" s="92"/>
      <c r="D800" s="92"/>
      <c r="E800" s="266"/>
    </row>
    <row r="801" spans="1:5" ht="15.75">
      <c r="A801" s="123"/>
      <c r="B801" s="289"/>
      <c r="C801" s="92"/>
      <c r="D801" s="92"/>
      <c r="E801" s="266"/>
    </row>
    <row r="802" spans="1:5" ht="15.75">
      <c r="A802" s="123"/>
      <c r="B802" s="289"/>
      <c r="C802" s="92"/>
      <c r="D802" s="92"/>
      <c r="E802" s="266"/>
    </row>
    <row r="803" spans="1:5" ht="15.75">
      <c r="A803" s="123"/>
      <c r="B803" s="289"/>
      <c r="C803" s="92"/>
      <c r="D803" s="92"/>
      <c r="E803" s="266"/>
    </row>
    <row r="804" spans="1:5" ht="15.75">
      <c r="A804" s="123"/>
      <c r="B804" s="289"/>
      <c r="C804" s="92"/>
      <c r="D804" s="92"/>
      <c r="E804" s="266"/>
    </row>
    <row r="805" spans="1:5" ht="15.75">
      <c r="A805" s="123"/>
      <c r="B805" s="289"/>
      <c r="C805" s="92"/>
      <c r="D805" s="92"/>
      <c r="E805" s="266"/>
    </row>
    <row r="806" spans="1:5" ht="15.75">
      <c r="A806" s="123"/>
      <c r="B806" s="289"/>
      <c r="C806" s="92"/>
      <c r="D806" s="92"/>
      <c r="E806" s="266"/>
    </row>
    <row r="807" spans="1:5" ht="15.75">
      <c r="A807" s="123"/>
      <c r="B807" s="289"/>
      <c r="C807" s="92"/>
      <c r="D807" s="92"/>
      <c r="E807" s="266"/>
    </row>
    <row r="808" spans="1:5" ht="15.75">
      <c r="A808" s="123"/>
      <c r="B808" s="289"/>
      <c r="C808" s="92"/>
      <c r="D808" s="92"/>
      <c r="E808" s="266"/>
    </row>
    <row r="809" spans="1:5" ht="15.75">
      <c r="A809" s="123"/>
      <c r="B809" s="289"/>
      <c r="C809" s="92"/>
      <c r="D809" s="92"/>
      <c r="E809" s="266"/>
    </row>
    <row r="810" spans="1:5" ht="15.75">
      <c r="A810" s="123"/>
      <c r="B810" s="289"/>
      <c r="C810" s="92"/>
      <c r="D810" s="92"/>
      <c r="E810" s="266"/>
    </row>
    <row r="811" spans="1:5" ht="15.75">
      <c r="A811" s="123"/>
      <c r="B811" s="289"/>
      <c r="C811" s="92"/>
      <c r="D811" s="92"/>
      <c r="E811" s="266"/>
    </row>
    <row r="812" spans="1:5" ht="15.75">
      <c r="A812" s="123"/>
      <c r="B812" s="289"/>
      <c r="C812" s="92"/>
      <c r="D812" s="92"/>
      <c r="E812" s="266"/>
    </row>
    <row r="813" spans="1:5" ht="15.75">
      <c r="A813" s="123"/>
      <c r="B813" s="289"/>
      <c r="C813" s="92"/>
      <c r="D813" s="92"/>
      <c r="E813" s="266"/>
    </row>
    <row r="814" spans="1:5" ht="15.75">
      <c r="A814" s="123"/>
      <c r="B814" s="289"/>
      <c r="C814" s="92"/>
      <c r="D814" s="92"/>
      <c r="E814" s="266"/>
    </row>
    <row r="815" spans="1:5" ht="15.75">
      <c r="A815" s="123"/>
      <c r="B815" s="289"/>
      <c r="C815" s="92"/>
      <c r="D815" s="92"/>
      <c r="E815" s="266"/>
    </row>
    <row r="816" spans="1:5" ht="15.75">
      <c r="A816" s="123"/>
      <c r="B816" s="289"/>
      <c r="C816" s="92"/>
      <c r="D816" s="92"/>
      <c r="E816" s="266"/>
    </row>
    <row r="817" spans="1:5" ht="15.75">
      <c r="A817" s="123"/>
      <c r="B817" s="289"/>
      <c r="C817" s="92"/>
      <c r="D817" s="92"/>
      <c r="E817" s="266"/>
    </row>
    <row r="818" spans="1:5" ht="15.75">
      <c r="A818" s="123"/>
      <c r="B818" s="289"/>
      <c r="C818" s="92"/>
      <c r="D818" s="92"/>
      <c r="E818" s="266"/>
    </row>
    <row r="819" spans="1:5" ht="15.75">
      <c r="A819" s="123"/>
      <c r="B819" s="289"/>
      <c r="C819" s="92"/>
      <c r="D819" s="92"/>
      <c r="E819" s="266"/>
    </row>
    <row r="820" spans="1:5" ht="15.75">
      <c r="A820" s="123"/>
      <c r="B820" s="289"/>
      <c r="C820" s="92"/>
      <c r="D820" s="92"/>
      <c r="E820" s="266"/>
    </row>
    <row r="821" spans="1:5" ht="15.75">
      <c r="A821" s="123"/>
      <c r="B821" s="289"/>
      <c r="C821" s="92"/>
      <c r="D821" s="92"/>
      <c r="E821" s="266"/>
    </row>
    <row r="822" spans="1:5" ht="15.75">
      <c r="A822" s="123"/>
      <c r="B822" s="289"/>
      <c r="C822" s="92"/>
      <c r="D822" s="92"/>
      <c r="E822" s="266"/>
    </row>
    <row r="823" spans="1:5" ht="15.75">
      <c r="A823" s="123"/>
      <c r="B823" s="289"/>
      <c r="C823" s="92"/>
      <c r="D823" s="92"/>
      <c r="E823" s="266"/>
    </row>
    <row r="824" spans="1:5" ht="15.75">
      <c r="A824" s="123"/>
      <c r="B824" s="289"/>
      <c r="C824" s="92"/>
      <c r="D824" s="92"/>
      <c r="E824" s="266"/>
    </row>
    <row r="825" spans="1:5" ht="15.75">
      <c r="A825" s="123"/>
      <c r="B825" s="289"/>
      <c r="C825" s="92"/>
      <c r="D825" s="92"/>
      <c r="E825" s="266"/>
    </row>
    <row r="826" spans="1:5" ht="15.75">
      <c r="A826" s="123"/>
      <c r="B826" s="289"/>
      <c r="C826" s="92"/>
      <c r="D826" s="92"/>
      <c r="E826" s="266"/>
    </row>
    <row r="827" spans="1:5" ht="15.75">
      <c r="A827" s="123"/>
      <c r="B827" s="289"/>
      <c r="C827" s="92"/>
      <c r="D827" s="92"/>
      <c r="E827" s="266"/>
    </row>
    <row r="828" spans="1:5" ht="15.75">
      <c r="A828" s="123"/>
      <c r="B828" s="289"/>
      <c r="C828" s="92"/>
      <c r="D828" s="92"/>
      <c r="E828" s="266"/>
    </row>
    <row r="829" spans="1:5" ht="15.75">
      <c r="A829" s="123"/>
      <c r="B829" s="289"/>
      <c r="C829" s="92"/>
      <c r="D829" s="92"/>
      <c r="E829" s="266"/>
    </row>
    <row r="830" spans="1:5" ht="15.75">
      <c r="A830" s="123"/>
      <c r="B830" s="289"/>
      <c r="C830" s="92"/>
      <c r="D830" s="92"/>
      <c r="E830" s="266"/>
    </row>
    <row r="831" spans="1:5" ht="15.75">
      <c r="A831" s="123"/>
      <c r="B831" s="289"/>
      <c r="C831" s="92"/>
      <c r="D831" s="92"/>
      <c r="E831" s="266"/>
    </row>
    <row r="832" spans="1:5" ht="15.75">
      <c r="A832" s="123"/>
      <c r="B832" s="289"/>
      <c r="C832" s="92"/>
      <c r="D832" s="92"/>
      <c r="E832" s="266"/>
    </row>
    <row r="833" spans="1:5" ht="15.75">
      <c r="A833" s="123"/>
      <c r="B833" s="289"/>
      <c r="C833" s="92"/>
      <c r="D833" s="92"/>
      <c r="E833" s="266"/>
    </row>
    <row r="834" spans="1:5" ht="15.75">
      <c r="A834" s="123"/>
      <c r="B834" s="289"/>
      <c r="C834" s="92"/>
      <c r="D834" s="92"/>
      <c r="E834" s="266"/>
    </row>
    <row r="835" spans="1:5" ht="15.75">
      <c r="A835" s="123"/>
      <c r="B835" s="289"/>
      <c r="C835" s="92"/>
      <c r="D835" s="92"/>
      <c r="E835" s="266"/>
    </row>
    <row r="836" spans="1:5" ht="15.75">
      <c r="A836" s="123"/>
      <c r="B836" s="289"/>
      <c r="C836" s="92"/>
      <c r="D836" s="92"/>
      <c r="E836" s="266"/>
    </row>
    <row r="837" spans="1:5" ht="15.75">
      <c r="A837" s="123"/>
      <c r="B837" s="289"/>
      <c r="C837" s="92"/>
      <c r="D837" s="92"/>
      <c r="E837" s="266"/>
    </row>
    <row r="838" spans="1:5" ht="15.75">
      <c r="A838" s="123"/>
      <c r="B838" s="289"/>
      <c r="C838" s="92"/>
      <c r="D838" s="92"/>
      <c r="E838" s="266"/>
    </row>
    <row r="839" spans="1:5" ht="15.75">
      <c r="A839" s="123"/>
      <c r="B839" s="289"/>
      <c r="C839" s="92"/>
      <c r="D839" s="92"/>
      <c r="E839" s="266"/>
    </row>
    <row r="840" spans="1:5" ht="15.75">
      <c r="A840" s="123"/>
      <c r="B840" s="289"/>
      <c r="C840" s="92"/>
      <c r="D840" s="92"/>
      <c r="E840" s="266"/>
    </row>
    <row r="841" spans="1:5" ht="15.75">
      <c r="A841" s="123"/>
      <c r="B841" s="289"/>
      <c r="C841" s="92"/>
      <c r="D841" s="92"/>
      <c r="E841" s="266"/>
    </row>
    <row r="842" spans="1:5" ht="15.75">
      <c r="A842" s="123"/>
      <c r="B842" s="289"/>
      <c r="C842" s="92"/>
      <c r="D842" s="92"/>
      <c r="E842" s="266"/>
    </row>
    <row r="843" spans="1:5" ht="15.75">
      <c r="A843" s="123"/>
      <c r="B843" s="289"/>
      <c r="C843" s="92"/>
      <c r="D843" s="92"/>
      <c r="E843" s="266"/>
    </row>
    <row r="844" spans="1:5" ht="15.75">
      <c r="A844" s="123"/>
      <c r="B844" s="289"/>
      <c r="C844" s="92"/>
      <c r="D844" s="92"/>
      <c r="E844" s="266"/>
    </row>
    <row r="845" spans="1:5" ht="15.75">
      <c r="A845" s="123"/>
      <c r="B845" s="289"/>
      <c r="C845" s="92"/>
      <c r="D845" s="92"/>
      <c r="E845" s="266"/>
    </row>
    <row r="846" spans="1:5" ht="15.75">
      <c r="A846" s="123"/>
      <c r="B846" s="289"/>
      <c r="C846" s="92"/>
      <c r="D846" s="92"/>
      <c r="E846" s="266"/>
    </row>
    <row r="847" spans="1:5" ht="15.75">
      <c r="A847" s="123"/>
      <c r="B847" s="289"/>
      <c r="C847" s="92"/>
      <c r="D847" s="92"/>
      <c r="E847" s="266"/>
    </row>
    <row r="848" spans="1:5" ht="15.75">
      <c r="A848" s="123"/>
      <c r="B848" s="289"/>
      <c r="C848" s="92"/>
      <c r="D848" s="92"/>
      <c r="E848" s="266"/>
    </row>
    <row r="849" spans="1:5" ht="15.75">
      <c r="A849" s="123"/>
      <c r="B849" s="289"/>
      <c r="C849" s="92"/>
      <c r="D849" s="92"/>
      <c r="E849" s="266"/>
    </row>
    <row r="850" spans="1:5" ht="15.75">
      <c r="A850" s="123"/>
      <c r="B850" s="289"/>
      <c r="C850" s="92"/>
      <c r="D850" s="92"/>
      <c r="E850" s="266"/>
    </row>
    <row r="851" spans="1:5" ht="15.75">
      <c r="A851" s="123"/>
      <c r="B851" s="289"/>
      <c r="C851" s="92"/>
      <c r="D851" s="92"/>
      <c r="E851" s="266"/>
    </row>
    <row r="852" spans="1:5" ht="15.75">
      <c r="A852" s="123"/>
      <c r="B852" s="289"/>
      <c r="C852" s="92"/>
      <c r="D852" s="92"/>
      <c r="E852" s="266"/>
    </row>
    <row r="853" spans="1:5" ht="15.75">
      <c r="A853" s="123"/>
      <c r="B853" s="289"/>
      <c r="C853" s="92"/>
      <c r="D853" s="92"/>
      <c r="E853" s="266"/>
    </row>
    <row r="854" spans="1:5" ht="15.75">
      <c r="A854" s="123"/>
      <c r="B854" s="289"/>
      <c r="C854" s="92"/>
      <c r="D854" s="92"/>
      <c r="E854" s="266"/>
    </row>
    <row r="855" spans="1:5" ht="15.75">
      <c r="A855" s="123"/>
      <c r="B855" s="289"/>
      <c r="C855" s="92"/>
      <c r="D855" s="92"/>
      <c r="E855" s="266"/>
    </row>
    <row r="856" spans="1:5" ht="15.75">
      <c r="A856" s="123"/>
      <c r="B856" s="289"/>
      <c r="C856" s="92"/>
      <c r="D856" s="92"/>
      <c r="E856" s="266"/>
    </row>
    <row r="857" spans="1:5" ht="15.75">
      <c r="A857" s="123"/>
      <c r="B857" s="289"/>
      <c r="C857" s="92"/>
      <c r="D857" s="92"/>
      <c r="E857" s="266"/>
    </row>
    <row r="858" spans="1:5" ht="15.75">
      <c r="A858" s="123"/>
      <c r="B858" s="289"/>
      <c r="C858" s="92"/>
      <c r="D858" s="92"/>
      <c r="E858" s="266"/>
    </row>
    <row r="859" spans="1:5" ht="15.75">
      <c r="A859" s="123"/>
      <c r="B859" s="289"/>
      <c r="C859" s="92"/>
      <c r="D859" s="92"/>
      <c r="E859" s="266"/>
    </row>
    <row r="860" spans="1:5" ht="15.75">
      <c r="A860" s="123"/>
      <c r="B860" s="289"/>
      <c r="C860" s="92"/>
      <c r="D860" s="92"/>
      <c r="E860" s="266"/>
    </row>
    <row r="861" spans="1:5" ht="15.75">
      <c r="A861" s="123"/>
      <c r="B861" s="289"/>
      <c r="C861" s="92"/>
      <c r="D861" s="92"/>
      <c r="E861" s="266"/>
    </row>
    <row r="862" spans="1:5" ht="15.75">
      <c r="A862" s="123"/>
      <c r="B862" s="289"/>
      <c r="C862" s="92"/>
      <c r="D862" s="92"/>
      <c r="E862" s="266"/>
    </row>
    <row r="863" spans="1:5" ht="15.75">
      <c r="A863" s="123"/>
      <c r="B863" s="289"/>
      <c r="C863" s="92"/>
      <c r="D863" s="92"/>
      <c r="E863" s="266"/>
    </row>
    <row r="864" spans="1:5" ht="15.75">
      <c r="A864" s="123"/>
      <c r="B864" s="289"/>
      <c r="C864" s="92"/>
      <c r="D864" s="92"/>
      <c r="E864" s="266"/>
    </row>
    <row r="865" spans="1:5" ht="15.75">
      <c r="A865" s="123"/>
      <c r="B865" s="289"/>
      <c r="C865" s="92"/>
      <c r="D865" s="92"/>
      <c r="E865" s="266"/>
    </row>
    <row r="866" spans="1:5" ht="15.75">
      <c r="A866" s="123"/>
      <c r="B866" s="289"/>
      <c r="C866" s="92"/>
      <c r="D866" s="92"/>
      <c r="E866" s="266"/>
    </row>
    <row r="867" spans="1:5" ht="15.75">
      <c r="A867" s="123"/>
      <c r="B867" s="289"/>
      <c r="C867" s="92"/>
      <c r="D867" s="92"/>
      <c r="E867" s="266"/>
    </row>
    <row r="868" spans="1:5" ht="15.75">
      <c r="A868" s="123"/>
      <c r="B868" s="289"/>
      <c r="C868" s="92"/>
      <c r="D868" s="92"/>
      <c r="E868" s="266"/>
    </row>
    <row r="869" spans="1:5" ht="15.75">
      <c r="A869" s="123"/>
      <c r="B869" s="289"/>
      <c r="C869" s="92"/>
      <c r="D869" s="92"/>
      <c r="E869" s="266"/>
    </row>
    <row r="870" spans="1:5" ht="15.75">
      <c r="A870" s="123"/>
      <c r="B870" s="289"/>
      <c r="C870" s="92"/>
      <c r="D870" s="92"/>
      <c r="E870" s="266"/>
    </row>
    <row r="871" spans="1:5" ht="15.75">
      <c r="A871" s="123"/>
      <c r="B871" s="289"/>
      <c r="C871" s="92"/>
      <c r="D871" s="92"/>
      <c r="E871" s="266"/>
    </row>
    <row r="872" spans="1:5" ht="15.75">
      <c r="A872" s="123"/>
      <c r="B872" s="289"/>
      <c r="C872" s="92"/>
      <c r="D872" s="92"/>
      <c r="E872" s="266"/>
    </row>
    <row r="873" spans="1:5" ht="15.75">
      <c r="A873" s="123"/>
      <c r="B873" s="289"/>
      <c r="C873" s="92"/>
      <c r="D873" s="92"/>
      <c r="E873" s="266"/>
    </row>
    <row r="874" spans="1:5" ht="15.75">
      <c r="A874" s="123"/>
      <c r="B874" s="289"/>
      <c r="C874" s="92"/>
      <c r="D874" s="92"/>
      <c r="E874" s="266"/>
    </row>
    <row r="875" spans="1:5" ht="15.75">
      <c r="A875" s="123"/>
      <c r="B875" s="289"/>
      <c r="C875" s="92"/>
      <c r="D875" s="92"/>
      <c r="E875" s="266"/>
    </row>
    <row r="876" spans="1:5" ht="15.75">
      <c r="A876" s="123"/>
      <c r="B876" s="289"/>
      <c r="C876" s="92"/>
      <c r="D876" s="92"/>
      <c r="E876" s="266"/>
    </row>
    <row r="877" spans="1:5" ht="15.75">
      <c r="A877" s="123"/>
      <c r="B877" s="289"/>
      <c r="C877" s="92"/>
      <c r="D877" s="92"/>
      <c r="E877" s="266"/>
    </row>
    <row r="878" spans="1:5" ht="15.75">
      <c r="A878" s="123"/>
      <c r="B878" s="289"/>
      <c r="C878" s="92"/>
      <c r="D878" s="92"/>
      <c r="E878" s="266"/>
    </row>
    <row r="879" spans="1:5" ht="15.75">
      <c r="A879" s="123"/>
      <c r="B879" s="289"/>
      <c r="C879" s="92"/>
      <c r="D879" s="92"/>
      <c r="E879" s="266"/>
    </row>
    <row r="880" spans="1:5" ht="15.75">
      <c r="A880" s="123"/>
      <c r="B880" s="289"/>
      <c r="C880" s="92"/>
      <c r="D880" s="92"/>
      <c r="E880" s="266"/>
    </row>
    <row r="881" spans="1:5" ht="15.75">
      <c r="A881" s="123"/>
      <c r="B881" s="289"/>
      <c r="C881" s="92"/>
      <c r="D881" s="92"/>
      <c r="E881" s="266"/>
    </row>
    <row r="882" spans="1:5" ht="15.75">
      <c r="A882" s="123"/>
      <c r="B882" s="289"/>
      <c r="C882" s="92"/>
      <c r="D882" s="92"/>
      <c r="E882" s="266"/>
    </row>
    <row r="883" spans="1:5" ht="15.75">
      <c r="A883" s="123"/>
      <c r="B883" s="289"/>
      <c r="C883" s="92"/>
      <c r="D883" s="92"/>
      <c r="E883" s="266"/>
    </row>
    <row r="884" spans="1:5" ht="15.75">
      <c r="A884" s="123"/>
      <c r="B884" s="289"/>
      <c r="C884" s="92"/>
      <c r="D884" s="92"/>
      <c r="E884" s="266"/>
    </row>
    <row r="885" spans="1:5" ht="15.75">
      <c r="A885" s="123"/>
      <c r="B885" s="289"/>
      <c r="C885" s="92"/>
      <c r="D885" s="92"/>
      <c r="E885" s="266"/>
    </row>
    <row r="886" spans="1:5" ht="15.75">
      <c r="A886" s="123"/>
      <c r="B886" s="289"/>
      <c r="C886" s="92"/>
      <c r="D886" s="92"/>
      <c r="E886" s="266"/>
    </row>
    <row r="887" spans="1:5" ht="15.75">
      <c r="A887" s="123"/>
      <c r="B887" s="289"/>
      <c r="C887" s="92"/>
      <c r="D887" s="92"/>
      <c r="E887" s="266"/>
    </row>
    <row r="888" spans="1:5" ht="15.75">
      <c r="A888" s="123"/>
      <c r="B888" s="289"/>
      <c r="C888" s="92"/>
      <c r="D888" s="92"/>
      <c r="E888" s="266"/>
    </row>
    <row r="889" spans="1:5" ht="15.75">
      <c r="A889" s="123"/>
      <c r="B889" s="289"/>
      <c r="C889" s="92"/>
      <c r="D889" s="92"/>
      <c r="E889" s="266"/>
    </row>
    <row r="890" spans="1:5" ht="15.75">
      <c r="A890" s="123"/>
      <c r="B890" s="289"/>
      <c r="C890" s="92"/>
      <c r="D890" s="92"/>
      <c r="E890" s="266"/>
    </row>
    <row r="891" spans="1:5" ht="15.75">
      <c r="A891" s="123"/>
      <c r="B891" s="289"/>
      <c r="C891" s="92"/>
      <c r="D891" s="92"/>
      <c r="E891" s="266"/>
    </row>
    <row r="892" spans="1:5" ht="15.75">
      <c r="A892" s="123"/>
      <c r="B892" s="289"/>
      <c r="C892" s="92"/>
      <c r="D892" s="92"/>
      <c r="E892" s="266"/>
    </row>
    <row r="893" spans="1:5" ht="15.75">
      <c r="A893" s="123"/>
      <c r="B893" s="289"/>
      <c r="C893" s="92"/>
      <c r="D893" s="92"/>
      <c r="E893" s="266"/>
    </row>
    <row r="894" spans="1:5" ht="15.75">
      <c r="A894" s="123"/>
      <c r="B894" s="289"/>
      <c r="C894" s="92"/>
      <c r="D894" s="92"/>
      <c r="E894" s="266"/>
    </row>
    <row r="895" spans="1:5" ht="15.75">
      <c r="A895" s="123"/>
      <c r="B895" s="289"/>
      <c r="C895" s="92"/>
      <c r="D895" s="92"/>
      <c r="E895" s="266"/>
    </row>
    <row r="896" spans="1:5" ht="15.75">
      <c r="A896" s="123"/>
      <c r="B896" s="289"/>
      <c r="C896" s="92"/>
      <c r="D896" s="92"/>
      <c r="E896" s="266"/>
    </row>
    <row r="897" spans="1:5" ht="15.75">
      <c r="A897" s="123"/>
      <c r="B897" s="289"/>
      <c r="C897" s="92"/>
      <c r="D897" s="92"/>
      <c r="E897" s="266"/>
    </row>
    <row r="898" spans="1:5" ht="15.75">
      <c r="A898" s="123"/>
      <c r="B898" s="289"/>
      <c r="C898" s="92"/>
      <c r="D898" s="92"/>
      <c r="E898" s="266"/>
    </row>
    <row r="899" spans="1:5" ht="15.75">
      <c r="A899" s="123"/>
      <c r="B899" s="289"/>
      <c r="C899" s="92"/>
      <c r="D899" s="92"/>
      <c r="E899" s="266"/>
    </row>
    <row r="900" spans="1:5" ht="15.75">
      <c r="A900" s="123"/>
      <c r="B900" s="289"/>
      <c r="C900" s="92"/>
      <c r="D900" s="92"/>
      <c r="E900" s="266"/>
    </row>
    <row r="901" spans="1:5" ht="15.75">
      <c r="A901" s="123"/>
      <c r="B901" s="289"/>
      <c r="C901" s="92"/>
      <c r="D901" s="92"/>
      <c r="E901" s="266"/>
    </row>
    <row r="902" spans="1:5" ht="15.75">
      <c r="A902" s="123"/>
      <c r="B902" s="289"/>
      <c r="C902" s="92"/>
      <c r="D902" s="92"/>
      <c r="E902" s="266"/>
    </row>
    <row r="903" spans="1:5" ht="15.75">
      <c r="A903" s="123"/>
      <c r="B903" s="289"/>
      <c r="C903" s="92"/>
      <c r="D903" s="92"/>
      <c r="E903" s="266"/>
    </row>
    <row r="904" spans="1:5" ht="15.75">
      <c r="A904" s="123"/>
      <c r="B904" s="289"/>
      <c r="C904" s="92"/>
      <c r="D904" s="92"/>
      <c r="E904" s="266"/>
    </row>
    <row r="905" spans="1:5" ht="15.75">
      <c r="A905" s="123"/>
      <c r="B905" s="289"/>
      <c r="C905" s="92"/>
      <c r="D905" s="92"/>
      <c r="E905" s="266"/>
    </row>
    <row r="906" spans="1:5" ht="15.75">
      <c r="A906" s="123"/>
      <c r="B906" s="289"/>
      <c r="C906" s="92"/>
      <c r="D906" s="92"/>
      <c r="E906" s="266"/>
    </row>
    <row r="907" spans="1:5" ht="15.75">
      <c r="A907" s="123"/>
      <c r="B907" s="289"/>
      <c r="C907" s="92"/>
      <c r="D907" s="92"/>
      <c r="E907" s="266"/>
    </row>
    <row r="908" spans="1:5" ht="15.75">
      <c r="A908" s="123"/>
      <c r="B908" s="289"/>
      <c r="C908" s="92"/>
      <c r="D908" s="92"/>
      <c r="E908" s="266"/>
    </row>
    <row r="909" spans="1:5" ht="15.75">
      <c r="A909" s="123"/>
      <c r="B909" s="289"/>
      <c r="C909" s="92"/>
      <c r="D909" s="92"/>
      <c r="E909" s="266"/>
    </row>
    <row r="910" spans="1:5" ht="15.75">
      <c r="A910" s="123"/>
      <c r="B910" s="289"/>
      <c r="C910" s="92"/>
      <c r="D910" s="92"/>
      <c r="E910" s="266"/>
    </row>
    <row r="911" spans="1:5" ht="15.75">
      <c r="A911" s="123"/>
      <c r="B911" s="289"/>
      <c r="C911" s="92"/>
      <c r="D911" s="92"/>
      <c r="E911" s="266"/>
    </row>
    <row r="912" spans="1:5" ht="15.75">
      <c r="A912" s="123"/>
      <c r="B912" s="289"/>
      <c r="C912" s="92"/>
      <c r="D912" s="92"/>
      <c r="E912" s="266"/>
    </row>
    <row r="913" spans="1:5" ht="15.75">
      <c r="A913" s="123"/>
      <c r="B913" s="289"/>
      <c r="C913" s="92"/>
      <c r="D913" s="92"/>
      <c r="E913" s="266"/>
    </row>
    <row r="914" spans="1:5" ht="15.75">
      <c r="A914" s="123"/>
      <c r="B914" s="289"/>
      <c r="C914" s="92"/>
      <c r="D914" s="92"/>
      <c r="E914" s="266"/>
    </row>
    <row r="915" spans="1:5" ht="15.75">
      <c r="A915" s="123"/>
      <c r="B915" s="289"/>
      <c r="C915" s="92"/>
      <c r="D915" s="92"/>
      <c r="E915" s="266"/>
    </row>
    <row r="916" spans="1:5" ht="15.75">
      <c r="A916" s="123"/>
      <c r="B916" s="289"/>
      <c r="C916" s="92"/>
      <c r="D916" s="92"/>
      <c r="E916" s="266"/>
    </row>
    <row r="917" spans="1:5" ht="15.75">
      <c r="A917" s="123"/>
      <c r="B917" s="289"/>
      <c r="C917" s="92"/>
      <c r="D917" s="92"/>
      <c r="E917" s="266"/>
    </row>
    <row r="918" spans="1:5" ht="15.75">
      <c r="A918" s="123"/>
      <c r="B918" s="289"/>
      <c r="C918" s="92"/>
      <c r="D918" s="92"/>
      <c r="E918" s="266"/>
    </row>
    <row r="919" spans="1:5" ht="15.75">
      <c r="A919" s="123"/>
      <c r="B919" s="289"/>
      <c r="C919" s="92"/>
      <c r="D919" s="92"/>
      <c r="E919" s="266"/>
    </row>
    <row r="920" spans="1:5" ht="15.75">
      <c r="A920" s="123"/>
      <c r="B920" s="289"/>
      <c r="C920" s="92"/>
      <c r="D920" s="92"/>
      <c r="E920" s="266"/>
    </row>
    <row r="921" spans="1:5" ht="15.75">
      <c r="A921" s="123"/>
      <c r="B921" s="289"/>
      <c r="C921" s="92"/>
      <c r="D921" s="92"/>
      <c r="E921" s="266"/>
    </row>
    <row r="922" spans="1:5" ht="15.75">
      <c r="A922" s="123"/>
      <c r="B922" s="289"/>
      <c r="C922" s="92"/>
      <c r="D922" s="92"/>
      <c r="E922" s="266"/>
    </row>
    <row r="923" spans="1:5" ht="15.75">
      <c r="A923" s="123"/>
      <c r="B923" s="289"/>
      <c r="C923" s="92"/>
      <c r="D923" s="92"/>
      <c r="E923" s="266"/>
    </row>
    <row r="924" spans="1:5" ht="15.75">
      <c r="A924" s="123"/>
      <c r="B924" s="289"/>
      <c r="C924" s="92"/>
      <c r="D924" s="92"/>
      <c r="E924" s="266"/>
    </row>
    <row r="925" spans="1:5" ht="15.75">
      <c r="A925" s="123"/>
      <c r="B925" s="289"/>
      <c r="C925" s="92"/>
      <c r="D925" s="92"/>
      <c r="E925" s="266"/>
    </row>
    <row r="926" spans="1:5" ht="15.75">
      <c r="A926" s="123"/>
      <c r="B926" s="289"/>
      <c r="C926" s="92"/>
      <c r="D926" s="92"/>
      <c r="E926" s="266"/>
    </row>
    <row r="927" spans="1:5" ht="15.75">
      <c r="A927" s="123"/>
      <c r="B927" s="289"/>
      <c r="C927" s="92"/>
      <c r="D927" s="92"/>
      <c r="E927" s="266"/>
    </row>
    <row r="928" spans="1:5" ht="15.75">
      <c r="A928" s="123"/>
      <c r="B928" s="289"/>
      <c r="C928" s="92"/>
      <c r="D928" s="92"/>
      <c r="E928" s="266"/>
    </row>
    <row r="929" spans="1:5" ht="15.75">
      <c r="A929" s="123"/>
      <c r="B929" s="289"/>
      <c r="C929" s="92"/>
      <c r="D929" s="92"/>
      <c r="E929" s="266"/>
    </row>
    <row r="930" spans="1:5" ht="15.75">
      <c r="A930" s="123"/>
      <c r="B930" s="289"/>
      <c r="C930" s="92"/>
      <c r="D930" s="92"/>
      <c r="E930" s="266"/>
    </row>
    <row r="931" spans="1:5" ht="15.75">
      <c r="A931" s="123"/>
      <c r="B931" s="289"/>
      <c r="C931" s="92"/>
      <c r="D931" s="92"/>
      <c r="E931" s="266"/>
    </row>
    <row r="932" spans="1:5" ht="15.75">
      <c r="A932" s="123"/>
      <c r="B932" s="289"/>
      <c r="C932" s="92"/>
      <c r="D932" s="92"/>
      <c r="E932" s="266"/>
    </row>
    <row r="933" spans="1:5" ht="15.75">
      <c r="A933" s="123"/>
      <c r="B933" s="289"/>
      <c r="C933" s="92"/>
      <c r="D933" s="92"/>
      <c r="E933" s="266"/>
    </row>
    <row r="934" spans="1:5" ht="15.75">
      <c r="A934" s="123"/>
      <c r="B934" s="289"/>
      <c r="C934" s="92"/>
      <c r="D934" s="92"/>
      <c r="E934" s="266"/>
    </row>
    <row r="935" spans="1:5" ht="15.75">
      <c r="A935" s="123"/>
      <c r="B935" s="289"/>
      <c r="C935" s="92"/>
      <c r="D935" s="92"/>
      <c r="E935" s="266"/>
    </row>
    <row r="936" spans="1:5" ht="15.75">
      <c r="A936" s="123"/>
      <c r="B936" s="289"/>
      <c r="C936" s="92"/>
      <c r="D936" s="92"/>
      <c r="E936" s="266"/>
    </row>
    <row r="937" spans="1:5" ht="15.75">
      <c r="A937" s="123"/>
      <c r="B937" s="289"/>
      <c r="C937" s="92"/>
      <c r="D937" s="92"/>
      <c r="E937" s="266"/>
    </row>
    <row r="938" spans="1:5" ht="15.75">
      <c r="A938" s="123"/>
      <c r="B938" s="289"/>
      <c r="C938" s="92"/>
      <c r="D938" s="92"/>
      <c r="E938" s="266"/>
    </row>
    <row r="939" spans="1:5" ht="15.75">
      <c r="A939" s="123"/>
      <c r="B939" s="289"/>
      <c r="C939" s="92"/>
      <c r="D939" s="92"/>
      <c r="E939" s="266"/>
    </row>
    <row r="940" spans="1:5" ht="15.75">
      <c r="A940" s="123"/>
      <c r="B940" s="289"/>
      <c r="C940" s="92"/>
      <c r="D940" s="92"/>
      <c r="E940" s="266"/>
    </row>
    <row r="941" spans="1:5" ht="15.75">
      <c r="A941" s="123"/>
      <c r="B941" s="289"/>
      <c r="C941" s="92"/>
      <c r="D941" s="92"/>
      <c r="E941" s="266"/>
    </row>
    <row r="942" spans="1:5" ht="15.75">
      <c r="A942" s="123"/>
      <c r="B942" s="289"/>
      <c r="C942" s="92"/>
      <c r="D942" s="92"/>
      <c r="E942" s="266"/>
    </row>
    <row r="943" spans="1:5" ht="15.75">
      <c r="A943" s="123"/>
      <c r="B943" s="289"/>
      <c r="C943" s="92"/>
      <c r="D943" s="92"/>
      <c r="E943" s="266"/>
    </row>
    <row r="944" spans="1:5" ht="15.75">
      <c r="A944" s="123"/>
      <c r="B944" s="289"/>
      <c r="C944" s="92"/>
      <c r="D944" s="92"/>
      <c r="E944" s="266"/>
    </row>
    <row r="945" spans="1:5" ht="15.75">
      <c r="A945" s="123"/>
      <c r="B945" s="289"/>
      <c r="C945" s="92"/>
      <c r="D945" s="92"/>
      <c r="E945" s="266"/>
    </row>
    <row r="946" spans="1:5" ht="15.75">
      <c r="A946" s="123"/>
      <c r="B946" s="289"/>
      <c r="C946" s="92"/>
      <c r="D946" s="92"/>
      <c r="E946" s="266"/>
    </row>
    <row r="947" spans="1:5" ht="15.75">
      <c r="A947" s="123"/>
      <c r="B947" s="289"/>
      <c r="C947" s="92"/>
      <c r="D947" s="92"/>
      <c r="E947" s="266"/>
    </row>
    <row r="948" spans="1:5" ht="15.75">
      <c r="A948" s="123"/>
      <c r="B948" s="289"/>
      <c r="C948" s="92"/>
      <c r="D948" s="92"/>
      <c r="E948" s="266"/>
    </row>
    <row r="949" spans="1:5" ht="15.75">
      <c r="A949" s="123"/>
      <c r="B949" s="289"/>
      <c r="C949" s="92"/>
      <c r="D949" s="92"/>
      <c r="E949" s="266"/>
    </row>
    <row r="950" spans="1:5" ht="15.75">
      <c r="A950" s="123"/>
      <c r="B950" s="289"/>
      <c r="C950" s="92"/>
      <c r="D950" s="92"/>
      <c r="E950" s="266"/>
    </row>
    <row r="951" spans="1:5" ht="15.75">
      <c r="A951" s="123"/>
      <c r="B951" s="289"/>
      <c r="C951" s="92"/>
      <c r="D951" s="92"/>
      <c r="E951" s="266"/>
    </row>
    <row r="952" spans="1:5" ht="15.75">
      <c r="A952" s="123"/>
      <c r="B952" s="289"/>
      <c r="C952" s="92"/>
      <c r="D952" s="92"/>
      <c r="E952" s="266"/>
    </row>
    <row r="953" spans="1:5" ht="15.75">
      <c r="A953" s="123"/>
      <c r="B953" s="289"/>
      <c r="C953" s="92"/>
      <c r="D953" s="92"/>
      <c r="E953" s="266"/>
    </row>
    <row r="954" spans="1:5" ht="15.75">
      <c r="A954" s="123"/>
      <c r="B954" s="289"/>
      <c r="C954" s="92"/>
      <c r="D954" s="92"/>
      <c r="E954" s="266"/>
    </row>
    <row r="955" spans="1:5" ht="15.75">
      <c r="A955" s="123"/>
      <c r="B955" s="289"/>
      <c r="C955" s="92"/>
      <c r="D955" s="92"/>
      <c r="E955" s="266"/>
    </row>
    <row r="956" spans="1:5" ht="15.75">
      <c r="A956" s="123"/>
      <c r="B956" s="289"/>
      <c r="C956" s="92"/>
      <c r="D956" s="92"/>
      <c r="E956" s="266"/>
    </row>
    <row r="957" spans="1:5" ht="15.75">
      <c r="A957" s="123"/>
      <c r="B957" s="289"/>
      <c r="C957" s="92"/>
      <c r="D957" s="92"/>
      <c r="E957" s="266"/>
    </row>
    <row r="958" spans="1:5" ht="15.75">
      <c r="A958" s="123"/>
      <c r="B958" s="289"/>
      <c r="C958" s="92"/>
      <c r="D958" s="92"/>
      <c r="E958" s="266"/>
    </row>
    <row r="959" spans="1:5" ht="15.75">
      <c r="A959" s="123"/>
      <c r="B959" s="289"/>
      <c r="C959" s="92"/>
      <c r="D959" s="92"/>
      <c r="E959" s="266"/>
    </row>
    <row r="960" spans="1:5" ht="15.75">
      <c r="A960" s="123"/>
      <c r="B960" s="289"/>
      <c r="C960" s="92"/>
      <c r="D960" s="92"/>
      <c r="E960" s="266"/>
    </row>
    <row r="961" spans="1:5" ht="15.75">
      <c r="A961" s="123"/>
      <c r="B961" s="289"/>
      <c r="C961" s="92"/>
      <c r="D961" s="92"/>
      <c r="E961" s="266"/>
    </row>
    <row r="962" spans="1:5" ht="15.75">
      <c r="A962" s="123"/>
      <c r="B962" s="289"/>
      <c r="C962" s="92"/>
      <c r="D962" s="92"/>
      <c r="E962" s="266"/>
    </row>
    <row r="963" spans="1:5" ht="15.75">
      <c r="A963" s="123"/>
      <c r="B963" s="289"/>
      <c r="C963" s="92"/>
      <c r="D963" s="92"/>
      <c r="E963" s="266"/>
    </row>
    <row r="964" spans="1:5" ht="15.75">
      <c r="A964" s="123"/>
      <c r="B964" s="289"/>
      <c r="C964" s="92"/>
      <c r="D964" s="92"/>
      <c r="E964" s="266"/>
    </row>
    <row r="965" spans="1:5" ht="15.75">
      <c r="A965" s="123"/>
      <c r="B965" s="289"/>
      <c r="C965" s="92"/>
      <c r="D965" s="92"/>
      <c r="E965" s="266"/>
    </row>
    <row r="966" spans="1:5" ht="15.75">
      <c r="A966" s="123"/>
      <c r="B966" s="289"/>
      <c r="C966" s="92"/>
      <c r="D966" s="92"/>
      <c r="E966" s="266"/>
    </row>
    <row r="967" spans="1:5" ht="15.75">
      <c r="A967" s="123"/>
      <c r="B967" s="289"/>
      <c r="C967" s="92"/>
      <c r="D967" s="92"/>
      <c r="E967" s="266"/>
    </row>
    <row r="968" spans="1:5" ht="15.75">
      <c r="A968" s="123"/>
      <c r="B968" s="289"/>
      <c r="C968" s="92"/>
      <c r="D968" s="92"/>
      <c r="E968" s="266"/>
    </row>
    <row r="969" spans="1:5" ht="15.75">
      <c r="A969" s="123"/>
      <c r="B969" s="289"/>
      <c r="C969" s="92"/>
      <c r="D969" s="92"/>
      <c r="E969" s="266"/>
    </row>
    <row r="970" spans="1:5" ht="15.75">
      <c r="A970" s="123"/>
      <c r="B970" s="289"/>
      <c r="C970" s="92"/>
      <c r="D970" s="92"/>
      <c r="E970" s="266"/>
    </row>
    <row r="971" spans="1:5" ht="15.75">
      <c r="A971" s="123"/>
      <c r="B971" s="289"/>
      <c r="C971" s="92"/>
      <c r="D971" s="92"/>
      <c r="E971" s="266"/>
    </row>
    <row r="972" spans="1:5" ht="15.75">
      <c r="A972" s="123"/>
      <c r="B972" s="289"/>
      <c r="C972" s="92"/>
      <c r="D972" s="92"/>
      <c r="E972" s="266"/>
    </row>
    <row r="973" spans="1:5" ht="15.75">
      <c r="A973" s="123"/>
      <c r="B973" s="289"/>
      <c r="C973" s="92"/>
      <c r="D973" s="92"/>
      <c r="E973" s="266"/>
    </row>
    <row r="974" spans="1:5" ht="15.75">
      <c r="A974" s="123"/>
      <c r="B974" s="289"/>
      <c r="C974" s="92"/>
      <c r="D974" s="92"/>
      <c r="E974" s="266"/>
    </row>
    <row r="975" spans="1:5" ht="15.75">
      <c r="A975" s="123"/>
      <c r="B975" s="289"/>
      <c r="C975" s="92"/>
      <c r="D975" s="92"/>
      <c r="E975" s="266"/>
    </row>
    <row r="976" spans="1:5" ht="15.75">
      <c r="A976" s="123"/>
      <c r="B976" s="289"/>
      <c r="C976" s="92"/>
      <c r="D976" s="92"/>
      <c r="E976" s="266"/>
    </row>
    <row r="977" spans="1:5" ht="15.75">
      <c r="A977" s="123"/>
      <c r="B977" s="289"/>
      <c r="C977" s="92"/>
      <c r="D977" s="92"/>
      <c r="E977" s="266"/>
    </row>
    <row r="978" spans="1:5" ht="15.75">
      <c r="A978" s="123"/>
      <c r="B978" s="289"/>
      <c r="C978" s="92"/>
      <c r="D978" s="92"/>
      <c r="E978" s="266"/>
    </row>
    <row r="979" spans="1:5" ht="15.75">
      <c r="A979" s="123"/>
      <c r="B979" s="289"/>
      <c r="C979" s="92"/>
      <c r="D979" s="92"/>
      <c r="E979" s="266"/>
    </row>
    <row r="980" spans="1:5" ht="15.75">
      <c r="A980" s="123"/>
      <c r="B980" s="289"/>
      <c r="C980" s="92"/>
      <c r="D980" s="92"/>
      <c r="E980" s="266"/>
    </row>
    <row r="981" spans="1:5" ht="15.75">
      <c r="A981" s="123"/>
      <c r="B981" s="289"/>
      <c r="C981" s="92"/>
      <c r="D981" s="92"/>
      <c r="E981" s="266"/>
    </row>
    <row r="982" spans="1:5" ht="15.75">
      <c r="A982" s="123"/>
      <c r="B982" s="289"/>
      <c r="C982" s="92"/>
      <c r="D982" s="92"/>
      <c r="E982" s="266"/>
    </row>
    <row r="983" spans="1:5" ht="15.75">
      <c r="A983" s="123"/>
      <c r="B983" s="289"/>
      <c r="C983" s="92"/>
      <c r="D983" s="92"/>
      <c r="E983" s="266"/>
    </row>
    <row r="984" spans="1:5" ht="15.75">
      <c r="A984" s="123"/>
      <c r="B984" s="289"/>
      <c r="C984" s="92"/>
      <c r="D984" s="92"/>
      <c r="E984" s="266"/>
    </row>
    <row r="985" spans="1:5" ht="15.75">
      <c r="A985" s="123"/>
      <c r="B985" s="289"/>
      <c r="C985" s="92"/>
      <c r="D985" s="92"/>
      <c r="E985" s="266"/>
    </row>
    <row r="986" spans="1:5" ht="15.75">
      <c r="A986" s="123"/>
      <c r="B986" s="289"/>
      <c r="C986" s="92"/>
      <c r="D986" s="92"/>
      <c r="E986" s="266"/>
    </row>
    <row r="987" spans="1:5" ht="15.75">
      <c r="A987" s="123"/>
      <c r="B987" s="289"/>
      <c r="C987" s="92"/>
      <c r="D987" s="92"/>
      <c r="E987" s="266"/>
    </row>
    <row r="988" spans="1:5" ht="15.75">
      <c r="A988" s="123"/>
      <c r="B988" s="289"/>
      <c r="C988" s="92"/>
      <c r="D988" s="92"/>
      <c r="E988" s="266"/>
    </row>
    <row r="989" spans="1:5" ht="15.75">
      <c r="A989" s="123"/>
      <c r="B989" s="289"/>
      <c r="C989" s="92"/>
      <c r="D989" s="92"/>
      <c r="E989" s="266"/>
    </row>
    <row r="990" spans="1:5" ht="15.75">
      <c r="A990" s="123"/>
      <c r="B990" s="289"/>
      <c r="C990" s="92"/>
      <c r="D990" s="92"/>
      <c r="E990" s="266"/>
    </row>
    <row r="991" spans="1:5" ht="15.75">
      <c r="A991" s="123"/>
      <c r="B991" s="289"/>
      <c r="C991" s="92"/>
      <c r="D991" s="92"/>
      <c r="E991" s="266"/>
    </row>
    <row r="992" spans="1:5" ht="15.75">
      <c r="A992" s="123"/>
      <c r="B992" s="289"/>
      <c r="C992" s="92"/>
      <c r="D992" s="92"/>
      <c r="E992" s="266"/>
    </row>
    <row r="993" spans="1:5" ht="15.75">
      <c r="A993" s="123"/>
      <c r="B993" s="289"/>
      <c r="C993" s="92"/>
      <c r="D993" s="92"/>
      <c r="E993" s="266"/>
    </row>
    <row r="994" spans="1:5" ht="15.75">
      <c r="A994" s="123"/>
      <c r="B994" s="289"/>
      <c r="C994" s="92"/>
      <c r="D994" s="92"/>
      <c r="E994" s="266"/>
    </row>
    <row r="995" spans="1:5" ht="15.75">
      <c r="A995" s="123"/>
      <c r="B995" s="289"/>
      <c r="C995" s="92"/>
      <c r="D995" s="92"/>
      <c r="E995" s="266"/>
    </row>
    <row r="996" spans="1:5" ht="15.75">
      <c r="A996" s="123"/>
      <c r="B996" s="289"/>
      <c r="C996" s="92"/>
      <c r="D996" s="92"/>
      <c r="E996" s="266"/>
    </row>
    <row r="997" spans="1:5" ht="15.75">
      <c r="A997" s="123"/>
      <c r="B997" s="289"/>
      <c r="C997" s="92"/>
      <c r="D997" s="92"/>
      <c r="E997" s="266"/>
    </row>
    <row r="998" spans="1:5" ht="15.75">
      <c r="A998" s="123"/>
      <c r="B998" s="289"/>
      <c r="C998" s="92"/>
      <c r="D998" s="92"/>
      <c r="E998" s="266"/>
    </row>
    <row r="999" spans="1:5" ht="15.75">
      <c r="A999" s="123"/>
      <c r="B999" s="289"/>
      <c r="C999" s="92"/>
      <c r="D999" s="92"/>
      <c r="E999" s="266"/>
    </row>
    <row r="1000" spans="1:5" ht="15.75">
      <c r="A1000" s="123"/>
      <c r="B1000" s="289"/>
      <c r="C1000" s="92"/>
      <c r="D1000" s="92"/>
      <c r="E1000" s="266"/>
    </row>
    <row r="1001" spans="1:5" ht="15.75">
      <c r="A1001" s="123"/>
      <c r="B1001" s="289"/>
      <c r="C1001" s="92"/>
      <c r="D1001" s="92"/>
      <c r="E1001" s="266"/>
    </row>
    <row r="1002" spans="1:5" ht="15.75">
      <c r="A1002" s="123"/>
      <c r="B1002" s="289"/>
      <c r="C1002" s="92"/>
      <c r="D1002" s="92"/>
      <c r="E1002" s="266"/>
    </row>
    <row r="1003" spans="1:5" ht="15.75">
      <c r="A1003" s="123"/>
      <c r="B1003" s="289"/>
      <c r="C1003" s="92"/>
      <c r="D1003" s="92"/>
      <c r="E1003" s="266"/>
    </row>
    <row r="1004" spans="1:5" ht="15.75">
      <c r="A1004" s="123"/>
      <c r="B1004" s="289"/>
      <c r="C1004" s="92"/>
      <c r="D1004" s="92"/>
      <c r="E1004" s="266"/>
    </row>
    <row r="1005" spans="1:5" ht="15.75">
      <c r="A1005" s="123"/>
      <c r="B1005" s="289"/>
      <c r="C1005" s="92"/>
      <c r="D1005" s="92"/>
      <c r="E1005" s="266"/>
    </row>
    <row r="1006" spans="1:5" ht="15.75">
      <c r="A1006" s="123"/>
      <c r="B1006" s="289"/>
      <c r="C1006" s="92"/>
      <c r="D1006" s="92"/>
      <c r="E1006" s="266"/>
    </row>
    <row r="1007" spans="1:5" ht="15.75">
      <c r="A1007" s="123"/>
      <c r="B1007" s="289"/>
      <c r="C1007" s="92"/>
      <c r="D1007" s="92"/>
      <c r="E1007" s="266"/>
    </row>
    <row r="1008" spans="1:5" ht="15.75">
      <c r="A1008" s="123"/>
      <c r="B1008" s="289"/>
      <c r="C1008" s="92"/>
      <c r="D1008" s="92"/>
      <c r="E1008" s="266"/>
    </row>
    <row r="1009" spans="1:5" ht="15.75">
      <c r="A1009" s="123"/>
      <c r="B1009" s="289"/>
      <c r="C1009" s="92"/>
      <c r="D1009" s="92"/>
      <c r="E1009" s="266"/>
    </row>
    <row r="1010" spans="1:5" ht="15.75">
      <c r="A1010" s="123"/>
      <c r="B1010" s="289"/>
      <c r="C1010" s="92"/>
      <c r="D1010" s="92"/>
      <c r="E1010" s="266"/>
    </row>
    <row r="1011" spans="1:5" ht="15.75">
      <c r="A1011" s="123"/>
      <c r="B1011" s="289"/>
      <c r="C1011" s="92"/>
      <c r="D1011" s="92"/>
      <c r="E1011" s="266"/>
    </row>
    <row r="1012" spans="1:5" ht="15.75">
      <c r="A1012" s="123"/>
      <c r="B1012" s="289"/>
      <c r="C1012" s="92"/>
      <c r="D1012" s="92"/>
      <c r="E1012" s="266"/>
    </row>
    <row r="1013" spans="1:5" ht="15.75">
      <c r="A1013" s="123"/>
      <c r="B1013" s="289"/>
      <c r="C1013" s="92"/>
      <c r="D1013" s="92"/>
      <c r="E1013" s="266"/>
    </row>
    <row r="1014" spans="1:5" ht="15.75">
      <c r="A1014" s="123"/>
      <c r="B1014" s="289"/>
      <c r="C1014" s="92"/>
      <c r="D1014" s="92"/>
      <c r="E1014" s="266"/>
    </row>
    <row r="1015" spans="1:5" ht="15.75">
      <c r="A1015" s="123"/>
      <c r="B1015" s="289"/>
      <c r="C1015" s="92"/>
      <c r="D1015" s="92"/>
      <c r="E1015" s="266"/>
    </row>
    <row r="1016" spans="1:5" ht="15.75">
      <c r="A1016" s="123"/>
      <c r="B1016" s="289"/>
      <c r="C1016" s="92"/>
      <c r="D1016" s="92"/>
      <c r="E1016" s="266"/>
    </row>
    <row r="1017" spans="1:5" ht="15.75">
      <c r="A1017" s="123"/>
      <c r="B1017" s="289"/>
      <c r="C1017" s="92"/>
      <c r="D1017" s="92"/>
      <c r="E1017" s="266"/>
    </row>
    <row r="1018" spans="1:5" ht="15.75">
      <c r="A1018" s="123"/>
      <c r="B1018" s="289"/>
      <c r="C1018" s="92"/>
      <c r="D1018" s="92"/>
      <c r="E1018" s="266"/>
    </row>
    <row r="1019" spans="1:5" ht="15.75">
      <c r="A1019" s="123"/>
      <c r="B1019" s="289"/>
      <c r="C1019" s="92"/>
      <c r="D1019" s="92"/>
      <c r="E1019" s="266"/>
    </row>
    <row r="1020" spans="1:5" ht="15.75">
      <c r="A1020" s="123"/>
      <c r="B1020" s="289"/>
      <c r="C1020" s="92"/>
      <c r="D1020" s="92"/>
      <c r="E1020" s="266"/>
    </row>
    <row r="1021" spans="1:5" ht="15.75">
      <c r="A1021" s="123"/>
      <c r="B1021" s="289"/>
      <c r="C1021" s="92"/>
      <c r="D1021" s="92"/>
      <c r="E1021" s="266"/>
    </row>
    <row r="1022" spans="1:5" ht="15.75">
      <c r="A1022" s="123"/>
      <c r="B1022" s="289"/>
      <c r="C1022" s="92"/>
      <c r="D1022" s="92"/>
      <c r="E1022" s="266"/>
    </row>
    <row r="1023" spans="1:5" ht="15.75">
      <c r="A1023" s="123"/>
      <c r="B1023" s="289"/>
      <c r="C1023" s="92"/>
      <c r="D1023" s="92"/>
      <c r="E1023" s="266"/>
    </row>
    <row r="1024" spans="1:5" ht="15.75">
      <c r="A1024" s="123"/>
      <c r="B1024" s="289"/>
      <c r="C1024" s="92"/>
      <c r="D1024" s="92"/>
      <c r="E1024" s="266"/>
    </row>
    <row r="1025" spans="1:5" ht="15.75">
      <c r="A1025" s="123"/>
      <c r="B1025" s="289"/>
      <c r="C1025" s="92"/>
      <c r="D1025" s="92"/>
      <c r="E1025" s="266"/>
    </row>
    <row r="1026" spans="1:5" ht="15.75">
      <c r="A1026" s="123"/>
      <c r="B1026" s="289"/>
      <c r="C1026" s="92"/>
      <c r="D1026" s="92"/>
      <c r="E1026" s="266"/>
    </row>
    <row r="1027" spans="1:5" ht="15.75">
      <c r="A1027" s="123"/>
      <c r="B1027" s="289"/>
      <c r="C1027" s="92"/>
      <c r="D1027" s="92"/>
      <c r="E1027" s="266"/>
    </row>
    <row r="1028" spans="1:5" ht="15.75">
      <c r="A1028" s="123"/>
      <c r="B1028" s="289"/>
      <c r="C1028" s="92"/>
      <c r="D1028" s="92"/>
      <c r="E1028" s="266"/>
    </row>
    <row r="1029" spans="1:5" ht="15.75">
      <c r="A1029" s="123"/>
      <c r="B1029" s="289"/>
      <c r="C1029" s="92"/>
      <c r="D1029" s="92"/>
      <c r="E1029" s="266"/>
    </row>
    <row r="1030" spans="1:5" ht="15.75">
      <c r="A1030" s="123"/>
      <c r="B1030" s="289"/>
      <c r="C1030" s="92"/>
      <c r="D1030" s="92"/>
      <c r="E1030" s="266"/>
    </row>
    <row r="1031" spans="1:5" ht="15.75">
      <c r="A1031" s="123"/>
      <c r="B1031" s="289"/>
      <c r="C1031" s="92"/>
      <c r="D1031" s="92"/>
      <c r="E1031" s="266"/>
    </row>
    <row r="1032" spans="1:5" ht="15.75">
      <c r="A1032" s="123"/>
      <c r="B1032" s="289"/>
      <c r="C1032" s="92"/>
      <c r="D1032" s="92"/>
      <c r="E1032" s="266"/>
    </row>
    <row r="1033" spans="1:5" ht="15.75">
      <c r="A1033" s="123"/>
      <c r="B1033" s="289"/>
      <c r="C1033" s="92"/>
      <c r="D1033" s="92"/>
      <c r="E1033" s="266"/>
    </row>
    <row r="1034" spans="1:5" ht="15.75">
      <c r="A1034" s="123"/>
      <c r="B1034" s="289"/>
      <c r="C1034" s="92"/>
      <c r="D1034" s="92"/>
      <c r="E1034" s="266"/>
    </row>
    <row r="1035" spans="1:5" ht="15.75">
      <c r="A1035" s="123"/>
      <c r="B1035" s="289"/>
      <c r="C1035" s="92"/>
      <c r="D1035" s="92"/>
      <c r="E1035" s="266"/>
    </row>
    <row r="1036" spans="1:5" ht="15.75">
      <c r="A1036" s="123"/>
      <c r="B1036" s="289"/>
      <c r="C1036" s="92"/>
      <c r="D1036" s="92"/>
      <c r="E1036" s="266"/>
    </row>
    <row r="1037" spans="1:5" ht="15.75">
      <c r="A1037" s="123"/>
      <c r="B1037" s="289"/>
      <c r="C1037" s="92"/>
      <c r="D1037" s="92"/>
      <c r="E1037" s="266"/>
    </row>
    <row r="1038" spans="1:5" ht="15.75">
      <c r="A1038" s="123"/>
      <c r="B1038" s="289"/>
      <c r="C1038" s="92"/>
      <c r="D1038" s="92"/>
      <c r="E1038" s="266"/>
    </row>
    <row r="1039" spans="1:5" ht="15.75">
      <c r="A1039" s="123"/>
      <c r="B1039" s="289"/>
      <c r="C1039" s="92"/>
      <c r="D1039" s="92"/>
      <c r="E1039" s="266"/>
    </row>
    <row r="1040" spans="1:5" ht="15.75">
      <c r="A1040" s="123"/>
      <c r="B1040" s="289"/>
      <c r="C1040" s="92"/>
      <c r="D1040" s="92"/>
      <c r="E1040" s="266"/>
    </row>
    <row r="1041" spans="1:5" ht="15.75">
      <c r="A1041" s="123"/>
      <c r="B1041" s="289"/>
      <c r="C1041" s="92"/>
      <c r="D1041" s="92"/>
      <c r="E1041" s="266"/>
    </row>
    <row r="1042" spans="1:5" ht="15.75">
      <c r="A1042" s="123"/>
      <c r="B1042" s="289"/>
      <c r="C1042" s="92"/>
      <c r="D1042" s="92"/>
      <c r="E1042" s="266"/>
    </row>
    <row r="1043" spans="1:5" ht="15.75">
      <c r="A1043" s="123"/>
      <c r="B1043" s="289"/>
      <c r="C1043" s="92"/>
      <c r="D1043" s="92"/>
      <c r="E1043" s="266"/>
    </row>
    <row r="1044" spans="1:5" ht="15.75">
      <c r="A1044" s="123"/>
      <c r="B1044" s="289"/>
      <c r="C1044" s="92"/>
      <c r="D1044" s="92"/>
      <c r="E1044" s="266"/>
    </row>
    <row r="1045" spans="1:5" ht="15.75">
      <c r="A1045" s="123"/>
      <c r="B1045" s="289"/>
      <c r="C1045" s="92"/>
      <c r="D1045" s="92"/>
      <c r="E1045" s="266"/>
    </row>
    <row r="1046" spans="1:5" ht="15.75">
      <c r="A1046" s="123"/>
      <c r="B1046" s="289"/>
      <c r="C1046" s="92"/>
      <c r="D1046" s="92"/>
      <c r="E1046" s="266"/>
    </row>
    <row r="1047" spans="1:5" ht="15.75">
      <c r="A1047" s="123"/>
      <c r="B1047" s="289"/>
      <c r="C1047" s="92"/>
      <c r="D1047" s="92"/>
      <c r="E1047" s="266"/>
    </row>
    <row r="1048" spans="1:5" ht="15.75">
      <c r="A1048" s="123"/>
      <c r="B1048" s="289"/>
      <c r="C1048" s="92"/>
      <c r="D1048" s="92"/>
      <c r="E1048" s="266"/>
    </row>
    <row r="1049" spans="1:5" ht="15.75">
      <c r="A1049" s="123"/>
      <c r="B1049" s="289"/>
      <c r="C1049" s="92"/>
      <c r="D1049" s="92"/>
      <c r="E1049" s="266"/>
    </row>
    <row r="1050" spans="1:5" ht="15.75">
      <c r="A1050" s="123"/>
      <c r="B1050" s="289"/>
      <c r="C1050" s="92"/>
      <c r="D1050" s="92"/>
      <c r="E1050" s="266"/>
    </row>
    <row r="1051" spans="1:5" ht="15.75">
      <c r="A1051" s="123"/>
      <c r="B1051" s="289"/>
      <c r="C1051" s="92"/>
      <c r="D1051" s="92"/>
      <c r="E1051" s="266"/>
    </row>
    <row r="1052" spans="1:5" ht="15.75">
      <c r="A1052" s="123"/>
      <c r="B1052" s="289"/>
      <c r="C1052" s="92"/>
      <c r="D1052" s="92"/>
      <c r="E1052" s="266"/>
    </row>
    <row r="1053" spans="1:5" ht="15.75">
      <c r="A1053" s="123"/>
      <c r="B1053" s="289"/>
      <c r="C1053" s="92"/>
      <c r="D1053" s="92"/>
      <c r="E1053" s="266"/>
    </row>
    <row r="1054" spans="1:5" ht="15.75">
      <c r="A1054" s="123"/>
      <c r="B1054" s="289"/>
      <c r="C1054" s="92"/>
      <c r="D1054" s="92"/>
      <c r="E1054" s="266"/>
    </row>
    <row r="1055" spans="1:5" ht="15.75">
      <c r="A1055" s="123"/>
      <c r="B1055" s="289"/>
      <c r="C1055" s="92"/>
      <c r="D1055" s="92"/>
      <c r="E1055" s="266"/>
    </row>
    <row r="1056" spans="1:5" ht="15.75">
      <c r="A1056" s="123"/>
      <c r="B1056" s="289"/>
      <c r="C1056" s="92"/>
      <c r="D1056" s="92"/>
      <c r="E1056" s="266"/>
    </row>
    <row r="1057" spans="1:5" ht="15.75">
      <c r="A1057" s="123"/>
      <c r="B1057" s="289"/>
      <c r="C1057" s="92"/>
      <c r="D1057" s="92"/>
      <c r="E1057" s="266"/>
    </row>
    <row r="1058" spans="1:5" ht="15.75">
      <c r="A1058" s="123"/>
      <c r="B1058" s="289"/>
      <c r="C1058" s="92"/>
      <c r="D1058" s="92"/>
      <c r="E1058" s="266"/>
    </row>
    <row r="1059" spans="1:5" ht="15.75">
      <c r="A1059" s="123"/>
      <c r="B1059" s="289"/>
      <c r="C1059" s="92"/>
      <c r="D1059" s="92"/>
      <c r="E1059" s="266"/>
    </row>
    <row r="1060" spans="1:5" ht="15.75">
      <c r="A1060" s="123"/>
      <c r="B1060" s="289"/>
      <c r="C1060" s="92"/>
      <c r="D1060" s="92"/>
      <c r="E1060" s="266"/>
    </row>
    <row r="1061" spans="1:5" ht="15.75">
      <c r="A1061" s="123"/>
      <c r="B1061" s="289"/>
      <c r="C1061" s="92"/>
      <c r="D1061" s="92"/>
      <c r="E1061" s="266"/>
    </row>
    <row r="1062" spans="1:5" ht="15.75">
      <c r="A1062" s="123"/>
      <c r="B1062" s="289"/>
      <c r="C1062" s="92"/>
      <c r="D1062" s="92"/>
      <c r="E1062" s="266"/>
    </row>
    <row r="1063" spans="1:5" ht="15.75">
      <c r="A1063" s="123"/>
      <c r="B1063" s="289"/>
      <c r="C1063" s="92"/>
      <c r="D1063" s="92"/>
      <c r="E1063" s="266"/>
    </row>
    <row r="1064" spans="1:5" ht="15.75">
      <c r="A1064" s="123"/>
      <c r="B1064" s="289"/>
      <c r="C1064" s="92"/>
      <c r="D1064" s="92"/>
      <c r="E1064" s="266"/>
    </row>
    <row r="1065" spans="1:5" ht="15.75">
      <c r="A1065" s="123"/>
      <c r="B1065" s="289"/>
      <c r="C1065" s="92"/>
      <c r="D1065" s="92"/>
      <c r="E1065" s="266"/>
    </row>
    <row r="1066" spans="1:5" ht="15.75">
      <c r="A1066" s="123"/>
      <c r="B1066" s="289"/>
      <c r="C1066" s="92"/>
      <c r="D1066" s="92"/>
      <c r="E1066" s="266"/>
    </row>
    <row r="1067" spans="1:5" ht="15.75">
      <c r="A1067" s="123"/>
      <c r="B1067" s="289"/>
      <c r="C1067" s="92"/>
      <c r="D1067" s="92"/>
      <c r="E1067" s="266"/>
    </row>
    <row r="1068" spans="1:5" ht="15.75">
      <c r="A1068" s="123"/>
      <c r="B1068" s="289"/>
      <c r="C1068" s="92"/>
      <c r="D1068" s="92"/>
      <c r="E1068" s="266"/>
    </row>
    <row r="1069" spans="1:5" ht="15.75">
      <c r="A1069" s="123"/>
      <c r="B1069" s="289"/>
      <c r="C1069" s="92"/>
      <c r="D1069" s="92"/>
      <c r="E1069" s="266"/>
    </row>
    <row r="1070" spans="1:5" ht="15.75">
      <c r="A1070" s="123"/>
      <c r="B1070" s="289"/>
      <c r="C1070" s="92"/>
      <c r="D1070" s="92"/>
      <c r="E1070" s="266"/>
    </row>
    <row r="1071" spans="1:5" ht="15.75">
      <c r="A1071" s="123"/>
      <c r="B1071" s="289"/>
      <c r="C1071" s="92"/>
      <c r="D1071" s="92"/>
      <c r="E1071" s="266"/>
    </row>
    <row r="1072" spans="1:5" ht="15.75">
      <c r="A1072" s="123"/>
      <c r="B1072" s="289"/>
      <c r="C1072" s="92"/>
      <c r="D1072" s="92"/>
      <c r="E1072" s="266"/>
    </row>
    <row r="1073" spans="1:5" ht="15.75">
      <c r="A1073" s="123"/>
      <c r="B1073" s="289"/>
      <c r="C1073" s="92"/>
      <c r="D1073" s="92"/>
      <c r="E1073" s="266"/>
    </row>
    <row r="1074" spans="1:5" ht="15.75">
      <c r="A1074" s="123"/>
      <c r="B1074" s="289"/>
      <c r="C1074" s="92"/>
      <c r="D1074" s="92"/>
      <c r="E1074" s="266"/>
    </row>
    <row r="1075" spans="1:5" ht="15.75">
      <c r="A1075" s="123"/>
      <c r="B1075" s="289"/>
      <c r="C1075" s="92"/>
      <c r="D1075" s="92"/>
      <c r="E1075" s="266"/>
    </row>
    <row r="1076" spans="1:5" ht="15.75">
      <c r="A1076" s="123"/>
      <c r="B1076" s="289"/>
      <c r="C1076" s="92"/>
      <c r="D1076" s="92"/>
      <c r="E1076" s="266"/>
    </row>
    <row r="1077" spans="1:5" ht="15.75">
      <c r="A1077" s="123"/>
      <c r="B1077" s="289"/>
      <c r="C1077" s="92"/>
      <c r="D1077" s="92"/>
      <c r="E1077" s="266"/>
    </row>
    <row r="1078" spans="1:5" ht="15.75">
      <c r="A1078" s="123"/>
      <c r="B1078" s="289"/>
      <c r="C1078" s="92"/>
      <c r="D1078" s="92"/>
      <c r="E1078" s="266"/>
    </row>
    <row r="1079" spans="1:5" ht="15.75">
      <c r="A1079" s="123"/>
      <c r="B1079" s="289"/>
      <c r="C1079" s="92"/>
      <c r="D1079" s="92"/>
      <c r="E1079" s="266"/>
    </row>
    <row r="1080" spans="1:5" ht="15.75">
      <c r="A1080" s="123"/>
      <c r="B1080" s="289"/>
      <c r="C1080" s="92"/>
      <c r="D1080" s="92"/>
      <c r="E1080" s="266"/>
    </row>
    <row r="1081" spans="1:5" ht="15.75">
      <c r="A1081" s="123"/>
      <c r="B1081" s="289"/>
      <c r="C1081" s="92"/>
      <c r="D1081" s="92"/>
      <c r="E1081" s="266"/>
    </row>
    <row r="1082" spans="1:5" ht="15.75">
      <c r="A1082" s="123"/>
      <c r="B1082" s="289"/>
      <c r="C1082" s="92"/>
      <c r="D1082" s="92"/>
      <c r="E1082" s="266"/>
    </row>
    <row r="1083" spans="1:5" ht="15.75">
      <c r="A1083" s="123"/>
      <c r="B1083" s="289"/>
      <c r="C1083" s="92"/>
      <c r="D1083" s="92"/>
      <c r="E1083" s="266"/>
    </row>
    <row r="1084" spans="1:5" ht="15.75">
      <c r="A1084" s="123"/>
      <c r="B1084" s="289"/>
      <c r="C1084" s="92"/>
      <c r="D1084" s="92"/>
      <c r="E1084" s="266"/>
    </row>
    <row r="1085" spans="1:5" ht="15.75">
      <c r="A1085" s="123"/>
      <c r="B1085" s="289"/>
      <c r="C1085" s="92"/>
      <c r="D1085" s="92"/>
      <c r="E1085" s="266"/>
    </row>
    <row r="1086" spans="1:5" ht="15.75">
      <c r="A1086" s="123"/>
      <c r="B1086" s="289"/>
      <c r="C1086" s="92"/>
      <c r="D1086" s="92"/>
      <c r="E1086" s="266"/>
    </row>
    <row r="1087" spans="1:5" ht="15.75">
      <c r="A1087" s="123"/>
      <c r="B1087" s="289"/>
      <c r="C1087" s="92"/>
      <c r="D1087" s="92"/>
      <c r="E1087" s="266"/>
    </row>
    <row r="1088" spans="1:5" ht="15.75">
      <c r="A1088" s="123"/>
      <c r="B1088" s="289"/>
      <c r="C1088" s="92"/>
      <c r="D1088" s="92"/>
      <c r="E1088" s="266"/>
    </row>
    <row r="1089" spans="1:5" ht="15.75">
      <c r="A1089" s="123"/>
      <c r="B1089" s="289"/>
      <c r="C1089" s="92"/>
      <c r="D1089" s="92"/>
      <c r="E1089" s="266"/>
    </row>
    <row r="1090" spans="1:5" ht="15.75">
      <c r="A1090" s="123"/>
      <c r="B1090" s="289"/>
      <c r="C1090" s="92"/>
      <c r="D1090" s="92"/>
      <c r="E1090" s="266"/>
    </row>
    <row r="1091" spans="1:5" ht="15.75">
      <c r="A1091" s="123"/>
      <c r="B1091" s="289"/>
      <c r="C1091" s="92"/>
      <c r="D1091" s="92"/>
      <c r="E1091" s="266"/>
    </row>
    <row r="1092" spans="1:5" ht="15.75">
      <c r="A1092" s="123"/>
      <c r="B1092" s="289"/>
      <c r="C1092" s="92"/>
      <c r="D1092" s="92"/>
      <c r="E1092" s="266"/>
    </row>
    <row r="1093" spans="1:5" ht="15.75">
      <c r="A1093" s="123"/>
      <c r="B1093" s="289"/>
      <c r="C1093" s="92"/>
      <c r="D1093" s="92"/>
      <c r="E1093" s="266"/>
    </row>
    <row r="1094" spans="1:5" ht="15.75">
      <c r="A1094" s="123"/>
      <c r="B1094" s="289"/>
      <c r="C1094" s="92"/>
      <c r="D1094" s="92"/>
      <c r="E1094" s="266"/>
    </row>
    <row r="1095" spans="1:5" ht="15.75">
      <c r="A1095" s="123"/>
      <c r="B1095" s="289"/>
      <c r="C1095" s="92"/>
      <c r="D1095" s="92"/>
      <c r="E1095" s="266"/>
    </row>
    <row r="1096" spans="1:5" ht="15.75">
      <c r="A1096" s="123"/>
      <c r="B1096" s="289"/>
      <c r="C1096" s="92"/>
      <c r="D1096" s="92"/>
      <c r="E1096" s="266"/>
    </row>
    <row r="1097" spans="1:5" ht="15.75">
      <c r="A1097" s="123"/>
      <c r="B1097" s="289"/>
      <c r="C1097" s="92"/>
      <c r="D1097" s="92"/>
      <c r="E1097" s="266"/>
    </row>
    <row r="1098" spans="1:5" ht="15.75">
      <c r="A1098" s="123"/>
      <c r="B1098" s="289"/>
      <c r="C1098" s="92"/>
      <c r="D1098" s="92"/>
      <c r="E1098" s="266"/>
    </row>
    <row r="1099" spans="1:5" ht="15.75">
      <c r="A1099" s="123"/>
      <c r="B1099" s="289"/>
      <c r="C1099" s="92"/>
      <c r="D1099" s="92"/>
      <c r="E1099" s="266"/>
    </row>
    <row r="1100" spans="1:5" ht="15.75">
      <c r="A1100" s="123"/>
      <c r="B1100" s="289"/>
      <c r="C1100" s="92"/>
      <c r="D1100" s="92"/>
      <c r="E1100" s="266"/>
    </row>
    <row r="1101" spans="1:5" ht="15.75">
      <c r="A1101" s="123"/>
      <c r="B1101" s="289"/>
      <c r="C1101" s="92"/>
      <c r="D1101" s="92"/>
      <c r="E1101" s="266"/>
    </row>
    <row r="1102" spans="1:5" ht="15.75">
      <c r="A1102" s="123"/>
      <c r="B1102" s="289"/>
      <c r="C1102" s="92"/>
      <c r="D1102" s="92"/>
      <c r="E1102" s="266"/>
    </row>
    <row r="1103" spans="1:5" ht="15.75">
      <c r="A1103" s="123"/>
      <c r="B1103" s="289"/>
      <c r="C1103" s="92"/>
      <c r="D1103" s="92"/>
      <c r="E1103" s="266"/>
    </row>
    <row r="1104" spans="1:5" ht="15.75">
      <c r="A1104" s="123"/>
      <c r="B1104" s="289"/>
      <c r="C1104" s="92"/>
      <c r="D1104" s="92"/>
      <c r="E1104" s="266"/>
    </row>
    <row r="1105" spans="1:5" ht="15.75">
      <c r="A1105" s="123"/>
      <c r="B1105" s="289"/>
      <c r="C1105" s="92"/>
      <c r="D1105" s="92"/>
      <c r="E1105" s="266"/>
    </row>
    <row r="1106" spans="1:5" ht="15.75">
      <c r="A1106" s="123"/>
      <c r="B1106" s="289"/>
      <c r="C1106" s="92"/>
      <c r="D1106" s="92"/>
      <c r="E1106" s="266"/>
    </row>
    <row r="1107" spans="1:5" ht="15.75">
      <c r="A1107" s="123"/>
      <c r="B1107" s="289"/>
      <c r="C1107" s="92"/>
      <c r="D1107" s="92"/>
      <c r="E1107" s="266"/>
    </row>
    <row r="1108" spans="1:5" ht="15.75">
      <c r="A1108" s="123"/>
      <c r="B1108" s="289"/>
      <c r="C1108" s="92"/>
      <c r="D1108" s="92"/>
      <c r="E1108" s="266"/>
    </row>
    <row r="1109" spans="1:5" ht="15.75">
      <c r="A1109" s="123"/>
      <c r="B1109" s="289"/>
      <c r="C1109" s="92"/>
      <c r="D1109" s="92"/>
      <c r="E1109" s="266"/>
    </row>
    <row r="1110" spans="1:5" ht="15.75">
      <c r="A1110" s="123"/>
      <c r="B1110" s="289"/>
      <c r="C1110" s="92"/>
      <c r="D1110" s="92"/>
      <c r="E1110" s="266"/>
    </row>
    <row r="1111" spans="1:5" ht="15.75">
      <c r="A1111" s="123"/>
      <c r="B1111" s="289"/>
      <c r="C1111" s="92"/>
      <c r="D1111" s="92"/>
      <c r="E1111" s="266"/>
    </row>
    <row r="1112" spans="1:5" ht="15.75">
      <c r="A1112" s="123"/>
      <c r="B1112" s="289"/>
      <c r="C1112" s="92"/>
      <c r="D1112" s="92"/>
      <c r="E1112" s="266"/>
    </row>
    <row r="1113" spans="1:5" ht="15.75">
      <c r="A1113" s="123"/>
      <c r="B1113" s="289"/>
      <c r="C1113" s="92"/>
      <c r="D1113" s="92"/>
      <c r="E1113" s="266"/>
    </row>
    <row r="1114" spans="1:5" ht="15.75">
      <c r="A1114" s="123"/>
      <c r="B1114" s="289"/>
      <c r="C1114" s="92"/>
      <c r="D1114" s="92"/>
      <c r="E1114" s="266"/>
    </row>
    <row r="1115" spans="1:5" ht="15.75">
      <c r="A1115" s="123"/>
      <c r="B1115" s="289"/>
      <c r="C1115" s="92"/>
      <c r="D1115" s="92"/>
      <c r="E1115" s="266"/>
    </row>
    <row r="1116" spans="1:5" ht="15.75">
      <c r="A1116" s="123"/>
      <c r="B1116" s="289"/>
      <c r="C1116" s="92"/>
      <c r="D1116" s="92"/>
      <c r="E1116" s="266"/>
    </row>
    <row r="1117" spans="1:5" ht="15.75">
      <c r="A1117" s="123"/>
      <c r="B1117" s="289"/>
      <c r="C1117" s="92"/>
      <c r="D1117" s="92"/>
      <c r="E1117" s="266"/>
    </row>
    <row r="1118" spans="1:5" ht="15.75">
      <c r="A1118" s="123"/>
      <c r="B1118" s="289"/>
      <c r="C1118" s="92"/>
      <c r="D1118" s="92"/>
      <c r="E1118" s="266"/>
    </row>
    <row r="1119" spans="1:5" ht="15.75">
      <c r="A1119" s="123"/>
      <c r="B1119" s="289"/>
      <c r="C1119" s="92"/>
      <c r="D1119" s="92"/>
      <c r="E1119" s="266"/>
    </row>
    <row r="1120" spans="1:5" ht="15.75">
      <c r="A1120" s="123"/>
      <c r="B1120" s="289"/>
      <c r="C1120" s="92"/>
      <c r="D1120" s="92"/>
      <c r="E1120" s="266"/>
    </row>
    <row r="1121" spans="1:5" ht="15.75">
      <c r="A1121" s="123"/>
      <c r="B1121" s="289"/>
      <c r="C1121" s="92"/>
      <c r="D1121" s="92"/>
      <c r="E1121" s="266"/>
    </row>
    <row r="1122" spans="1:5" ht="15.75">
      <c r="A1122" s="123"/>
      <c r="B1122" s="289"/>
      <c r="C1122" s="92"/>
      <c r="D1122" s="92"/>
      <c r="E1122" s="266"/>
    </row>
    <row r="1123" spans="1:5" ht="15.75">
      <c r="A1123" s="123"/>
      <c r="B1123" s="289"/>
      <c r="C1123" s="92"/>
      <c r="D1123" s="92"/>
      <c r="E1123" s="266"/>
    </row>
    <row r="1124" spans="1:5" ht="15.75">
      <c r="A1124" s="123"/>
      <c r="B1124" s="289"/>
      <c r="C1124" s="92"/>
      <c r="D1124" s="92"/>
      <c r="E1124" s="266"/>
    </row>
    <row r="1125" spans="1:5" ht="15.75">
      <c r="A1125" s="123"/>
      <c r="B1125" s="289"/>
      <c r="C1125" s="92"/>
      <c r="D1125" s="92"/>
      <c r="E1125" s="266"/>
    </row>
    <row r="1126" spans="1:5" ht="15.75">
      <c r="A1126" s="123"/>
      <c r="B1126" s="289"/>
      <c r="C1126" s="92"/>
      <c r="D1126" s="92"/>
      <c r="E1126" s="266"/>
    </row>
    <row r="1127" spans="1:5" ht="15.75">
      <c r="A1127" s="123"/>
      <c r="B1127" s="289"/>
      <c r="C1127" s="92"/>
      <c r="D1127" s="92"/>
      <c r="E1127" s="266"/>
    </row>
    <row r="1128" spans="1:5" ht="15.75">
      <c r="A1128" s="123"/>
      <c r="B1128" s="289"/>
      <c r="C1128" s="92"/>
      <c r="D1128" s="92"/>
      <c r="E1128" s="266"/>
    </row>
    <row r="1129" spans="1:5" ht="15.75">
      <c r="A1129" s="123"/>
      <c r="B1129" s="289"/>
      <c r="C1129" s="92"/>
      <c r="D1129" s="92"/>
      <c r="E1129" s="266"/>
    </row>
    <row r="1130" spans="1:5" ht="15.75">
      <c r="A1130" s="123"/>
      <c r="B1130" s="289"/>
      <c r="C1130" s="92"/>
      <c r="D1130" s="92"/>
      <c r="E1130" s="266"/>
    </row>
    <row r="1131" spans="1:5" ht="15.75">
      <c r="A1131" s="123"/>
      <c r="B1131" s="289"/>
      <c r="C1131" s="92"/>
      <c r="D1131" s="92"/>
      <c r="E1131" s="266"/>
    </row>
    <row r="1132" spans="1:5" ht="15.75">
      <c r="A1132" s="123"/>
      <c r="B1132" s="289"/>
      <c r="C1132" s="92"/>
      <c r="D1132" s="92"/>
      <c r="E1132" s="266"/>
    </row>
    <row r="1133" spans="1:5" ht="15.75">
      <c r="A1133" s="123"/>
      <c r="B1133" s="289"/>
      <c r="C1133" s="92"/>
      <c r="D1133" s="92"/>
      <c r="E1133" s="266"/>
    </row>
    <row r="1134" spans="1:5" ht="15.75">
      <c r="A1134" s="123"/>
      <c r="B1134" s="289"/>
      <c r="C1134" s="92"/>
      <c r="D1134" s="92"/>
      <c r="E1134" s="266"/>
    </row>
    <row r="1135" spans="1:5" ht="15.75">
      <c r="A1135" s="123"/>
      <c r="B1135" s="289"/>
      <c r="C1135" s="92"/>
      <c r="D1135" s="92"/>
      <c r="E1135" s="266"/>
    </row>
    <row r="1136" spans="1:5" ht="15.75">
      <c r="A1136" s="123"/>
      <c r="B1136" s="289"/>
      <c r="C1136" s="92"/>
      <c r="D1136" s="92"/>
      <c r="E1136" s="266"/>
    </row>
    <row r="1137" spans="1:5" ht="15.75">
      <c r="A1137" s="123"/>
      <c r="B1137" s="289"/>
      <c r="C1137" s="92"/>
      <c r="D1137" s="92"/>
      <c r="E1137" s="266"/>
    </row>
    <row r="1138" spans="1:5" ht="15.75">
      <c r="A1138" s="123"/>
      <c r="B1138" s="289"/>
      <c r="C1138" s="92"/>
      <c r="D1138" s="92"/>
      <c r="E1138" s="266"/>
    </row>
    <row r="1139" spans="1:5" ht="15.75">
      <c r="A1139" s="123"/>
      <c r="B1139" s="289"/>
      <c r="C1139" s="92"/>
      <c r="D1139" s="92"/>
      <c r="E1139" s="266"/>
    </row>
    <row r="1140" spans="1:5" ht="15.75">
      <c r="A1140" s="123"/>
      <c r="B1140" s="289"/>
      <c r="C1140" s="92"/>
      <c r="D1140" s="92"/>
      <c r="E1140" s="266"/>
    </row>
    <row r="1141" spans="1:5" ht="15.75">
      <c r="A1141" s="123"/>
      <c r="B1141" s="289"/>
      <c r="C1141" s="92"/>
      <c r="D1141" s="92"/>
      <c r="E1141" s="266"/>
    </row>
    <row r="1142" spans="1:5" ht="15.75">
      <c r="A1142" s="123"/>
      <c r="B1142" s="289"/>
      <c r="C1142" s="92"/>
      <c r="D1142" s="92"/>
      <c r="E1142" s="266"/>
    </row>
    <row r="1143" spans="1:5" ht="15.75">
      <c r="A1143" s="123"/>
      <c r="B1143" s="289"/>
      <c r="C1143" s="92"/>
      <c r="D1143" s="92"/>
      <c r="E1143" s="266"/>
    </row>
    <row r="1144" spans="1:5" ht="15.75">
      <c r="A1144" s="123"/>
      <c r="B1144" s="289"/>
      <c r="C1144" s="92"/>
      <c r="D1144" s="92"/>
      <c r="E1144" s="266"/>
    </row>
    <row r="1145" spans="1:5" ht="15.75">
      <c r="A1145" s="123"/>
      <c r="B1145" s="289"/>
      <c r="C1145" s="92"/>
      <c r="D1145" s="92"/>
      <c r="E1145" s="266"/>
    </row>
    <row r="1146" spans="1:5" ht="15.75">
      <c r="A1146" s="123"/>
      <c r="B1146" s="289"/>
      <c r="C1146" s="92"/>
      <c r="D1146" s="92"/>
      <c r="E1146" s="266"/>
    </row>
    <row r="1147" spans="1:5" ht="15.75">
      <c r="A1147" s="123"/>
      <c r="B1147" s="289"/>
      <c r="C1147" s="92"/>
      <c r="D1147" s="92"/>
      <c r="E1147" s="266"/>
    </row>
    <row r="1148" spans="1:5" ht="15.75">
      <c r="A1148" s="123"/>
      <c r="B1148" s="289"/>
      <c r="C1148" s="92"/>
      <c r="D1148" s="92"/>
      <c r="E1148" s="266"/>
    </row>
    <row r="1149" spans="1:5" ht="15.75">
      <c r="A1149" s="123"/>
      <c r="B1149" s="289"/>
      <c r="C1149" s="92"/>
      <c r="D1149" s="92"/>
      <c r="E1149" s="266"/>
    </row>
    <row r="1150" spans="1:5" ht="15.75">
      <c r="A1150" s="123"/>
      <c r="B1150" s="289"/>
      <c r="C1150" s="92"/>
      <c r="D1150" s="92"/>
      <c r="E1150" s="266"/>
    </row>
    <row r="1151" spans="1:5" ht="15.75">
      <c r="A1151" s="123"/>
      <c r="B1151" s="289"/>
      <c r="C1151" s="92"/>
      <c r="D1151" s="92"/>
      <c r="E1151" s="266"/>
    </row>
    <row r="1152" spans="1:5" ht="15.75">
      <c r="A1152" s="123"/>
      <c r="B1152" s="289"/>
      <c r="C1152" s="92"/>
      <c r="D1152" s="92"/>
      <c r="E1152" s="266"/>
    </row>
    <row r="1153" spans="1:5" ht="15.75">
      <c r="A1153" s="123"/>
      <c r="B1153" s="289"/>
      <c r="C1153" s="92"/>
      <c r="D1153" s="92"/>
      <c r="E1153" s="266"/>
    </row>
    <row r="1154" spans="1:5" ht="15.75">
      <c r="A1154" s="123"/>
      <c r="B1154" s="289"/>
      <c r="C1154" s="92"/>
      <c r="D1154" s="92"/>
      <c r="E1154" s="266"/>
    </row>
    <row r="1155" spans="1:5" ht="15.75">
      <c r="A1155" s="123"/>
      <c r="B1155" s="289"/>
      <c r="C1155" s="92"/>
      <c r="D1155" s="92"/>
      <c r="E1155" s="266"/>
    </row>
    <row r="1156" spans="1:5" ht="15.75">
      <c r="A1156" s="123"/>
      <c r="B1156" s="289"/>
      <c r="C1156" s="92"/>
      <c r="D1156" s="92"/>
      <c r="E1156" s="266"/>
    </row>
    <row r="1157" spans="1:5" ht="15.75">
      <c r="A1157" s="123"/>
      <c r="B1157" s="289"/>
      <c r="C1157" s="92"/>
      <c r="D1157" s="92"/>
      <c r="E1157" s="266"/>
    </row>
    <row r="1158" spans="1:5" ht="15.75">
      <c r="A1158" s="123"/>
      <c r="B1158" s="289"/>
      <c r="C1158" s="92"/>
      <c r="D1158" s="92"/>
      <c r="E1158" s="266"/>
    </row>
    <row r="1159" spans="1:5" ht="15.75">
      <c r="A1159" s="123"/>
      <c r="B1159" s="289"/>
      <c r="C1159" s="92"/>
      <c r="D1159" s="92"/>
      <c r="E1159" s="266"/>
    </row>
    <row r="1160" spans="1:5" ht="15.75">
      <c r="A1160" s="123"/>
      <c r="B1160" s="289"/>
      <c r="C1160" s="92"/>
      <c r="D1160" s="92"/>
      <c r="E1160" s="266"/>
    </row>
    <row r="1161" spans="1:5" ht="15.75">
      <c r="A1161" s="123"/>
      <c r="B1161" s="289"/>
      <c r="C1161" s="92"/>
      <c r="D1161" s="92"/>
      <c r="E1161" s="266"/>
    </row>
    <row r="1162" spans="1:5" ht="15.75">
      <c r="A1162" s="123"/>
      <c r="B1162" s="289"/>
      <c r="C1162" s="92"/>
      <c r="D1162" s="92"/>
      <c r="E1162" s="266"/>
    </row>
    <row r="1163" spans="1:5" ht="15.75">
      <c r="A1163" s="123"/>
      <c r="B1163" s="289"/>
      <c r="C1163" s="92"/>
      <c r="D1163" s="92"/>
      <c r="E1163" s="266"/>
    </row>
    <row r="1164" spans="1:5" ht="15.75">
      <c r="A1164" s="123"/>
      <c r="B1164" s="289"/>
      <c r="C1164" s="92"/>
      <c r="D1164" s="92"/>
      <c r="E1164" s="266"/>
    </row>
    <row r="1165" spans="1:5" ht="15.75">
      <c r="A1165" s="123"/>
      <c r="B1165" s="289"/>
      <c r="C1165" s="92"/>
      <c r="D1165" s="92"/>
      <c r="E1165" s="266"/>
    </row>
    <row r="1166" spans="1:5" ht="15.75">
      <c r="A1166" s="123"/>
      <c r="B1166" s="289"/>
      <c r="C1166" s="92"/>
      <c r="D1166" s="92"/>
      <c r="E1166" s="266"/>
    </row>
    <row r="1167" spans="1:5" ht="15.75">
      <c r="A1167" s="123"/>
      <c r="B1167" s="289"/>
      <c r="C1167" s="92"/>
      <c r="D1167" s="92"/>
      <c r="E1167" s="266"/>
    </row>
    <row r="1168" spans="1:5" ht="15.75">
      <c r="A1168" s="123"/>
      <c r="B1168" s="289"/>
      <c r="C1168" s="92"/>
      <c r="D1168" s="92"/>
      <c r="E1168" s="266"/>
    </row>
    <row r="1169" spans="1:5" ht="15.75">
      <c r="A1169" s="123"/>
      <c r="B1169" s="289"/>
      <c r="C1169" s="92"/>
      <c r="D1169" s="92"/>
      <c r="E1169" s="266"/>
    </row>
    <row r="1170" spans="1:5" ht="15.75">
      <c r="A1170" s="123"/>
      <c r="B1170" s="289"/>
      <c r="C1170" s="92"/>
      <c r="D1170" s="92"/>
      <c r="E1170" s="266"/>
    </row>
    <row r="1171" spans="1:5" ht="15.75">
      <c r="A1171" s="123"/>
      <c r="B1171" s="289"/>
      <c r="C1171" s="92"/>
      <c r="D1171" s="92"/>
      <c r="E1171" s="266"/>
    </row>
    <row r="1172" spans="1:5" ht="15.75">
      <c r="A1172" s="123"/>
      <c r="B1172" s="289"/>
      <c r="C1172" s="92"/>
      <c r="D1172" s="92"/>
      <c r="E1172" s="266"/>
    </row>
    <row r="1173" spans="1:5" ht="15.75">
      <c r="A1173" s="123"/>
      <c r="B1173" s="289"/>
      <c r="C1173" s="92"/>
      <c r="D1173" s="92"/>
      <c r="E1173" s="266"/>
    </row>
    <row r="1174" spans="1:5" ht="15.75">
      <c r="A1174" s="123"/>
      <c r="B1174" s="289"/>
      <c r="C1174" s="92"/>
      <c r="D1174" s="92"/>
      <c r="E1174" s="266"/>
    </row>
    <row r="1175" spans="1:5" ht="15.75">
      <c r="A1175" s="123"/>
      <c r="B1175" s="289"/>
      <c r="C1175" s="92"/>
      <c r="D1175" s="92"/>
      <c r="E1175" s="266"/>
    </row>
    <row r="1176" spans="1:5" ht="15.75">
      <c r="A1176" s="123"/>
      <c r="B1176" s="289"/>
      <c r="C1176" s="92"/>
      <c r="D1176" s="92"/>
      <c r="E1176" s="266"/>
    </row>
    <row r="1177" spans="1:5" ht="15.75">
      <c r="A1177" s="123"/>
      <c r="B1177" s="289"/>
      <c r="C1177" s="92"/>
      <c r="D1177" s="92"/>
      <c r="E1177" s="266"/>
    </row>
    <row r="1178" spans="1:5" ht="15.75">
      <c r="A1178" s="123"/>
      <c r="B1178" s="289"/>
      <c r="C1178" s="92"/>
      <c r="D1178" s="92"/>
      <c r="E1178" s="266"/>
    </row>
    <row r="1179" spans="1:5" ht="15.75">
      <c r="A1179" s="123"/>
      <c r="B1179" s="289"/>
      <c r="C1179" s="92"/>
      <c r="D1179" s="92"/>
      <c r="E1179" s="266"/>
    </row>
    <row r="1180" spans="1:5" ht="15.75">
      <c r="A1180" s="123"/>
      <c r="B1180" s="289"/>
      <c r="C1180" s="92"/>
      <c r="D1180" s="92"/>
      <c r="E1180" s="266"/>
    </row>
    <row r="1181" spans="1:5" ht="15.75">
      <c r="A1181" s="123"/>
      <c r="B1181" s="289"/>
      <c r="C1181" s="92"/>
      <c r="D1181" s="92"/>
      <c r="E1181" s="266"/>
    </row>
    <row r="1182" spans="1:5" ht="15.75">
      <c r="A1182" s="123"/>
      <c r="B1182" s="289"/>
      <c r="C1182" s="92"/>
      <c r="D1182" s="92"/>
      <c r="E1182" s="266"/>
    </row>
    <row r="1183" spans="1:5" ht="15.75">
      <c r="A1183" s="123"/>
      <c r="B1183" s="289"/>
      <c r="C1183" s="92"/>
      <c r="D1183" s="92"/>
      <c r="E1183" s="266"/>
    </row>
    <row r="1184" spans="1:5" ht="15.75">
      <c r="A1184" s="123"/>
      <c r="B1184" s="289"/>
      <c r="C1184" s="92"/>
      <c r="D1184" s="92"/>
      <c r="E1184" s="266"/>
    </row>
    <row r="1185" spans="1:5" ht="15.75">
      <c r="A1185" s="123"/>
      <c r="B1185" s="289"/>
      <c r="C1185" s="92"/>
      <c r="D1185" s="92"/>
      <c r="E1185" s="266"/>
    </row>
    <row r="1186" spans="1:5" ht="15.75">
      <c r="A1186" s="123"/>
      <c r="B1186" s="289"/>
      <c r="C1186" s="92"/>
      <c r="D1186" s="92"/>
      <c r="E1186" s="266"/>
    </row>
    <row r="1187" spans="1:5" ht="15.75">
      <c r="A1187" s="123"/>
      <c r="B1187" s="289"/>
      <c r="C1187" s="92"/>
      <c r="D1187" s="92"/>
      <c r="E1187" s="266"/>
    </row>
    <row r="1188" spans="1:5" ht="15.75">
      <c r="A1188" s="123"/>
      <c r="B1188" s="289"/>
      <c r="C1188" s="92"/>
      <c r="D1188" s="92"/>
      <c r="E1188" s="266"/>
    </row>
    <row r="1189" spans="1:5" ht="15.75">
      <c r="A1189" s="123"/>
      <c r="B1189" s="289"/>
      <c r="C1189" s="92"/>
      <c r="D1189" s="92"/>
      <c r="E1189" s="266"/>
    </row>
    <row r="1190" spans="1:5" ht="15.75">
      <c r="A1190" s="123"/>
      <c r="B1190" s="289"/>
      <c r="C1190" s="92"/>
      <c r="D1190" s="92"/>
      <c r="E1190" s="266"/>
    </row>
    <row r="1191" spans="1:5" ht="15.75">
      <c r="A1191" s="123"/>
      <c r="B1191" s="289"/>
      <c r="C1191" s="92"/>
      <c r="D1191" s="92"/>
      <c r="E1191" s="266"/>
    </row>
    <row r="1192" spans="1:5" ht="15.75">
      <c r="A1192" s="123"/>
      <c r="B1192" s="289"/>
      <c r="C1192" s="92"/>
      <c r="D1192" s="92"/>
      <c r="E1192" s="266"/>
    </row>
    <row r="1193" spans="1:5" ht="15.75">
      <c r="A1193" s="123"/>
      <c r="B1193" s="289"/>
      <c r="C1193" s="92"/>
      <c r="D1193" s="92"/>
      <c r="E1193" s="266"/>
    </row>
    <row r="1194" spans="1:5" ht="15.75">
      <c r="A1194" s="123"/>
      <c r="B1194" s="289"/>
      <c r="C1194" s="92"/>
      <c r="D1194" s="92"/>
      <c r="E1194" s="266"/>
    </row>
    <row r="1195" spans="1:5" ht="15.75">
      <c r="A1195" s="123"/>
      <c r="B1195" s="289"/>
      <c r="C1195" s="92"/>
      <c r="D1195" s="92"/>
      <c r="E1195" s="266"/>
    </row>
    <row r="1196" spans="1:5" ht="15.75">
      <c r="A1196" s="123"/>
      <c r="B1196" s="289"/>
      <c r="C1196" s="92"/>
      <c r="D1196" s="92"/>
      <c r="E1196" s="266"/>
    </row>
    <row r="1197" spans="1:5" ht="15.75">
      <c r="A1197" s="123"/>
      <c r="B1197" s="289"/>
      <c r="C1197" s="92"/>
      <c r="D1197" s="92"/>
      <c r="E1197" s="266"/>
    </row>
    <row r="1198" spans="1:5" ht="15.75">
      <c r="A1198" s="123"/>
      <c r="B1198" s="289"/>
      <c r="C1198" s="92"/>
      <c r="D1198" s="92"/>
      <c r="E1198" s="266"/>
    </row>
    <row r="1199" spans="1:5" ht="15.75">
      <c r="A1199" s="123"/>
      <c r="B1199" s="289"/>
      <c r="C1199" s="92"/>
      <c r="D1199" s="92"/>
      <c r="E1199" s="266"/>
    </row>
    <row r="1200" spans="1:5" ht="15.75">
      <c r="A1200" s="123"/>
      <c r="B1200" s="289"/>
      <c r="C1200" s="92"/>
      <c r="D1200" s="92"/>
      <c r="E1200" s="266"/>
    </row>
    <row r="1201" spans="1:5" ht="15.75">
      <c r="A1201" s="123"/>
      <c r="B1201" s="289"/>
      <c r="C1201" s="92"/>
      <c r="D1201" s="92"/>
      <c r="E1201" s="266"/>
    </row>
    <row r="1202" spans="1:5" ht="15.75">
      <c r="A1202" s="123"/>
      <c r="B1202" s="289"/>
      <c r="C1202" s="92"/>
      <c r="D1202" s="92"/>
      <c r="E1202" s="266"/>
    </row>
    <row r="1203" spans="1:5" ht="15.75">
      <c r="A1203" s="123"/>
      <c r="B1203" s="289"/>
      <c r="C1203" s="92"/>
      <c r="D1203" s="92"/>
      <c r="E1203" s="266"/>
    </row>
    <row r="1204" spans="1:5" ht="15.75">
      <c r="A1204" s="123"/>
      <c r="B1204" s="289"/>
      <c r="C1204" s="92"/>
      <c r="D1204" s="92"/>
      <c r="E1204" s="266"/>
    </row>
    <row r="1205" spans="1:5" ht="15.75">
      <c r="A1205" s="123"/>
      <c r="B1205" s="289"/>
      <c r="C1205" s="92"/>
      <c r="D1205" s="92"/>
      <c r="E1205" s="266"/>
    </row>
    <row r="1206" spans="1:5" ht="15.75">
      <c r="A1206" s="123"/>
      <c r="B1206" s="289"/>
      <c r="C1206" s="92"/>
      <c r="D1206" s="92"/>
      <c r="E1206" s="266"/>
    </row>
    <row r="1207" spans="1:5" ht="15.75">
      <c r="A1207" s="123"/>
      <c r="B1207" s="289"/>
      <c r="C1207" s="92"/>
      <c r="D1207" s="92"/>
      <c r="E1207" s="266"/>
    </row>
    <row r="1208" spans="1:5" ht="15.75">
      <c r="A1208" s="123"/>
      <c r="B1208" s="289"/>
      <c r="C1208" s="92"/>
      <c r="D1208" s="92"/>
      <c r="E1208" s="266"/>
    </row>
    <row r="1209" spans="1:5" ht="15.75">
      <c r="A1209" s="123"/>
      <c r="B1209" s="289"/>
      <c r="C1209" s="92"/>
      <c r="D1209" s="92"/>
      <c r="E1209" s="266"/>
    </row>
    <row r="1210" spans="1:5" ht="15.75">
      <c r="A1210" s="123"/>
      <c r="B1210" s="289"/>
      <c r="C1210" s="92"/>
      <c r="D1210" s="92"/>
      <c r="E1210" s="266"/>
    </row>
    <row r="1211" spans="1:5" ht="15.75">
      <c r="A1211" s="123"/>
      <c r="B1211" s="289"/>
      <c r="C1211" s="92"/>
      <c r="D1211" s="92"/>
      <c r="E1211" s="266"/>
    </row>
    <row r="1212" spans="1:5" ht="15.75">
      <c r="A1212" s="123"/>
      <c r="B1212" s="289"/>
      <c r="C1212" s="92"/>
      <c r="D1212" s="92"/>
      <c r="E1212" s="266"/>
    </row>
    <row r="1213" spans="1:5" ht="15.75">
      <c r="A1213" s="123"/>
      <c r="B1213" s="289"/>
      <c r="C1213" s="92"/>
      <c r="D1213" s="92"/>
      <c r="E1213" s="266"/>
    </row>
    <row r="1214" spans="1:5" ht="15.75">
      <c r="A1214" s="123"/>
      <c r="B1214" s="289"/>
      <c r="C1214" s="92"/>
      <c r="D1214" s="92"/>
      <c r="E1214" s="266"/>
    </row>
    <row r="1215" spans="1:5" ht="15.75">
      <c r="A1215" s="123"/>
      <c r="B1215" s="289"/>
      <c r="C1215" s="92"/>
      <c r="D1215" s="92"/>
      <c r="E1215" s="266"/>
    </row>
    <row r="1216" spans="1:5" ht="15.75">
      <c r="A1216" s="123"/>
      <c r="B1216" s="289"/>
      <c r="C1216" s="92"/>
      <c r="D1216" s="92"/>
      <c r="E1216" s="266"/>
    </row>
    <row r="1217" spans="1:5" ht="15.75">
      <c r="A1217" s="123"/>
      <c r="B1217" s="289"/>
      <c r="C1217" s="92"/>
      <c r="D1217" s="92"/>
      <c r="E1217" s="266"/>
    </row>
    <row r="1218" spans="1:5" ht="15.75">
      <c r="A1218" s="123"/>
      <c r="B1218" s="289"/>
      <c r="C1218" s="92"/>
      <c r="D1218" s="92"/>
      <c r="E1218" s="266"/>
    </row>
    <row r="1219" spans="1:5" ht="15.75">
      <c r="A1219" s="123"/>
      <c r="B1219" s="289"/>
      <c r="C1219" s="92"/>
      <c r="D1219" s="92"/>
      <c r="E1219" s="266"/>
    </row>
    <row r="1220" spans="1:5" ht="15.75">
      <c r="A1220" s="123"/>
      <c r="B1220" s="289"/>
      <c r="C1220" s="92"/>
      <c r="D1220" s="92"/>
      <c r="E1220" s="266"/>
    </row>
    <row r="1221" spans="1:5" ht="15.75">
      <c r="A1221" s="123"/>
      <c r="B1221" s="289"/>
      <c r="C1221" s="92"/>
      <c r="D1221" s="92"/>
      <c r="E1221" s="266"/>
    </row>
    <row r="1222" spans="1:5" ht="15.75">
      <c r="A1222" s="123"/>
      <c r="B1222" s="289"/>
      <c r="C1222" s="92"/>
      <c r="D1222" s="92"/>
      <c r="E1222" s="266"/>
    </row>
    <row r="1223" spans="1:5" ht="15.75">
      <c r="A1223" s="123"/>
      <c r="B1223" s="289"/>
      <c r="C1223" s="92"/>
      <c r="D1223" s="92"/>
      <c r="E1223" s="266"/>
    </row>
    <row r="1224" spans="1:5" ht="15.75">
      <c r="A1224" s="123"/>
      <c r="B1224" s="289"/>
      <c r="C1224" s="92"/>
      <c r="D1224" s="92"/>
      <c r="E1224" s="266"/>
    </row>
    <row r="1225" spans="1:5" ht="15.75">
      <c r="A1225" s="123"/>
      <c r="B1225" s="289"/>
      <c r="C1225" s="92"/>
      <c r="D1225" s="92"/>
      <c r="E1225" s="266"/>
    </row>
    <row r="1226" spans="1:5" ht="15.75">
      <c r="A1226" s="123"/>
      <c r="B1226" s="289"/>
      <c r="C1226" s="92"/>
      <c r="D1226" s="92"/>
      <c r="E1226" s="266"/>
    </row>
    <row r="1227" spans="1:5" ht="15.75">
      <c r="A1227" s="123"/>
      <c r="B1227" s="289"/>
      <c r="C1227" s="92"/>
      <c r="D1227" s="92"/>
      <c r="E1227" s="266"/>
    </row>
    <row r="1228" spans="1:5" ht="15.75">
      <c r="A1228" s="123"/>
      <c r="B1228" s="289"/>
      <c r="C1228" s="92"/>
      <c r="D1228" s="92"/>
      <c r="E1228" s="266"/>
    </row>
    <row r="1229" spans="1:5" ht="15.75">
      <c r="A1229" s="123"/>
      <c r="B1229" s="289"/>
      <c r="C1229" s="92"/>
      <c r="D1229" s="92"/>
      <c r="E1229" s="266"/>
    </row>
    <row r="1230" spans="1:5" ht="15.75">
      <c r="A1230" s="123"/>
      <c r="B1230" s="289"/>
      <c r="C1230" s="92"/>
      <c r="D1230" s="92"/>
      <c r="E1230" s="266"/>
    </row>
    <row r="1231" spans="1:5" ht="15.75">
      <c r="A1231" s="123"/>
      <c r="B1231" s="289"/>
      <c r="C1231" s="92"/>
      <c r="D1231" s="92"/>
      <c r="E1231" s="266"/>
    </row>
    <row r="1232" spans="1:5" ht="15.75">
      <c r="A1232" s="123"/>
      <c r="B1232" s="289"/>
      <c r="C1232" s="92"/>
      <c r="D1232" s="92"/>
      <c r="E1232" s="266"/>
    </row>
    <row r="1233" spans="1:5" ht="15.75">
      <c r="A1233" s="123"/>
      <c r="B1233" s="289"/>
      <c r="C1233" s="92"/>
      <c r="D1233" s="92"/>
      <c r="E1233" s="266"/>
    </row>
    <row r="1234" spans="1:5" ht="15.75">
      <c r="A1234" s="123"/>
      <c r="B1234" s="289"/>
      <c r="C1234" s="92"/>
      <c r="D1234" s="92"/>
      <c r="E1234" s="266"/>
    </row>
    <row r="1235" spans="1:5" ht="15.75">
      <c r="A1235" s="123"/>
      <c r="B1235" s="289"/>
      <c r="C1235" s="92"/>
      <c r="D1235" s="92"/>
      <c r="E1235" s="266"/>
    </row>
    <row r="1236" spans="1:5" ht="15.75">
      <c r="A1236" s="123"/>
      <c r="B1236" s="289"/>
      <c r="C1236" s="92"/>
      <c r="D1236" s="92"/>
      <c r="E1236" s="266"/>
    </row>
    <row r="1237" spans="1:5" ht="15.75">
      <c r="A1237" s="123"/>
      <c r="B1237" s="289"/>
      <c r="C1237" s="92"/>
      <c r="D1237" s="92"/>
      <c r="E1237" s="266"/>
    </row>
    <row r="1238" spans="1:5" ht="15.75">
      <c r="A1238" s="123"/>
      <c r="B1238" s="289"/>
      <c r="C1238" s="92"/>
      <c r="D1238" s="92"/>
      <c r="E1238" s="266"/>
    </row>
    <row r="1239" spans="1:5" ht="15.75">
      <c r="A1239" s="123"/>
      <c r="B1239" s="289"/>
      <c r="C1239" s="92"/>
      <c r="D1239" s="92"/>
      <c r="E1239" s="266"/>
    </row>
    <row r="1240" spans="1:5" ht="15.75">
      <c r="A1240" s="123"/>
      <c r="B1240" s="289"/>
      <c r="C1240" s="92"/>
      <c r="D1240" s="92"/>
      <c r="E1240" s="266"/>
    </row>
    <row r="1241" spans="1:5" ht="15.75">
      <c r="A1241" s="123"/>
      <c r="B1241" s="289"/>
      <c r="C1241" s="92"/>
      <c r="D1241" s="92"/>
      <c r="E1241" s="266"/>
    </row>
    <row r="1242" spans="1:5" ht="15.75">
      <c r="A1242" s="123"/>
      <c r="B1242" s="289"/>
      <c r="C1242" s="92"/>
      <c r="D1242" s="92"/>
      <c r="E1242" s="266"/>
    </row>
    <row r="1243" spans="1:5" ht="15.75">
      <c r="A1243" s="123"/>
      <c r="B1243" s="289"/>
      <c r="C1243" s="92"/>
      <c r="D1243" s="92"/>
      <c r="E1243" s="266"/>
    </row>
    <row r="1244" spans="1:5" ht="15.75">
      <c r="A1244" s="123"/>
      <c r="B1244" s="289"/>
      <c r="C1244" s="92"/>
      <c r="D1244" s="92"/>
      <c r="E1244" s="266"/>
    </row>
    <row r="1245" spans="1:5" ht="15.75">
      <c r="A1245" s="123"/>
      <c r="B1245" s="289"/>
      <c r="C1245" s="92"/>
      <c r="D1245" s="92"/>
      <c r="E1245" s="266"/>
    </row>
    <row r="1246" spans="1:5" ht="15.75">
      <c r="A1246" s="123"/>
      <c r="B1246" s="289"/>
      <c r="C1246" s="92"/>
      <c r="D1246" s="92"/>
      <c r="E1246" s="266"/>
    </row>
    <row r="1247" spans="1:5" ht="15.75">
      <c r="A1247" s="123"/>
      <c r="B1247" s="289"/>
      <c r="C1247" s="92"/>
      <c r="D1247" s="92"/>
      <c r="E1247" s="266"/>
    </row>
    <row r="1248" spans="1:5" ht="15.75">
      <c r="A1248" s="123"/>
      <c r="B1248" s="289"/>
      <c r="C1248" s="92"/>
      <c r="D1248" s="92"/>
      <c r="E1248" s="266"/>
    </row>
    <row r="1249" spans="1:5" ht="15.75">
      <c r="A1249" s="123"/>
      <c r="B1249" s="289"/>
      <c r="C1249" s="92"/>
      <c r="D1249" s="92"/>
      <c r="E1249" s="266"/>
    </row>
    <row r="1250" spans="1:5" ht="15.75">
      <c r="A1250" s="123"/>
      <c r="B1250" s="289"/>
      <c r="C1250" s="92"/>
      <c r="D1250" s="92"/>
      <c r="E1250" s="266"/>
    </row>
    <row r="1251" spans="1:5" ht="15.75">
      <c r="A1251" s="123"/>
      <c r="B1251" s="289"/>
      <c r="C1251" s="92"/>
      <c r="D1251" s="92"/>
      <c r="E1251" s="266"/>
    </row>
    <row r="1252" spans="1:5" ht="15.75">
      <c r="A1252" s="123"/>
      <c r="B1252" s="289"/>
      <c r="C1252" s="92"/>
      <c r="D1252" s="92"/>
      <c r="E1252" s="266"/>
    </row>
    <row r="1253" spans="1:5" ht="15.75">
      <c r="A1253" s="123"/>
      <c r="B1253" s="289"/>
      <c r="C1253" s="92"/>
      <c r="D1253" s="92"/>
      <c r="E1253" s="266"/>
    </row>
    <row r="1254" spans="1:5" ht="15.75">
      <c r="A1254" s="123"/>
      <c r="B1254" s="289"/>
      <c r="C1254" s="92"/>
      <c r="D1254" s="92"/>
      <c r="E1254" s="266"/>
    </row>
    <row r="1255" spans="1:5" ht="15.75">
      <c r="A1255" s="123"/>
      <c r="B1255" s="289"/>
      <c r="C1255" s="92"/>
      <c r="D1255" s="92"/>
      <c r="E1255" s="266"/>
    </row>
    <row r="1256" spans="1:5" ht="15.75">
      <c r="A1256" s="123"/>
      <c r="B1256" s="289"/>
      <c r="C1256" s="92"/>
      <c r="D1256" s="92"/>
      <c r="E1256" s="266"/>
    </row>
    <row r="1257" spans="1:5" ht="15.75">
      <c r="A1257" s="123"/>
      <c r="B1257" s="289"/>
      <c r="C1257" s="92"/>
      <c r="D1257" s="92"/>
      <c r="E1257" s="266"/>
    </row>
    <row r="1258" spans="1:5" ht="15.75">
      <c r="A1258" s="123"/>
      <c r="B1258" s="289"/>
      <c r="C1258" s="92"/>
      <c r="D1258" s="92"/>
      <c r="E1258" s="266"/>
    </row>
    <row r="1259" spans="1:5" ht="15.75">
      <c r="A1259" s="123"/>
      <c r="B1259" s="289"/>
      <c r="C1259" s="92"/>
      <c r="D1259" s="92"/>
      <c r="E1259" s="266"/>
    </row>
    <row r="1260" spans="1:5" ht="15.75">
      <c r="A1260" s="123"/>
      <c r="B1260" s="289"/>
      <c r="C1260" s="92"/>
      <c r="D1260" s="92"/>
      <c r="E1260" s="266"/>
    </row>
    <row r="1261" spans="1:5" ht="15.75">
      <c r="A1261" s="123"/>
      <c r="B1261" s="289"/>
      <c r="C1261" s="92"/>
      <c r="D1261" s="92"/>
      <c r="E1261" s="266"/>
    </row>
    <row r="1262" spans="1:5" ht="15.75">
      <c r="A1262" s="123"/>
      <c r="B1262" s="289"/>
      <c r="C1262" s="92"/>
      <c r="D1262" s="92"/>
      <c r="E1262" s="266"/>
    </row>
    <row r="1263" spans="1:5" ht="15.75">
      <c r="A1263" s="123"/>
      <c r="B1263" s="289"/>
      <c r="C1263" s="92"/>
      <c r="D1263" s="92"/>
      <c r="E1263" s="266"/>
    </row>
    <row r="1264" spans="1:5" ht="15.75">
      <c r="A1264" s="123"/>
      <c r="B1264" s="289"/>
      <c r="C1264" s="92"/>
      <c r="D1264" s="92"/>
      <c r="E1264" s="266"/>
    </row>
    <row r="1265" spans="1:5" ht="15.75">
      <c r="A1265" s="123"/>
      <c r="B1265" s="289"/>
      <c r="C1265" s="92"/>
      <c r="D1265" s="92"/>
      <c r="E1265" s="266"/>
    </row>
    <row r="1266" spans="1:5" ht="15.75">
      <c r="A1266" s="123"/>
      <c r="B1266" s="289"/>
      <c r="C1266" s="92"/>
      <c r="D1266" s="92"/>
      <c r="E1266" s="266"/>
    </row>
    <row r="1267" spans="1:5" ht="15.75">
      <c r="A1267" s="123"/>
      <c r="B1267" s="289"/>
      <c r="C1267" s="92"/>
      <c r="D1267" s="92"/>
      <c r="E1267" s="266"/>
    </row>
    <row r="1268" spans="1:5" ht="15.75">
      <c r="A1268" s="123"/>
      <c r="B1268" s="289"/>
      <c r="C1268" s="92"/>
      <c r="D1268" s="92"/>
      <c r="E1268" s="266"/>
    </row>
    <row r="1269" spans="1:5" ht="15.75">
      <c r="A1269" s="123"/>
      <c r="B1269" s="289"/>
      <c r="C1269" s="92"/>
      <c r="D1269" s="92"/>
      <c r="E1269" s="266"/>
    </row>
    <row r="1270" spans="1:5" ht="15.75">
      <c r="A1270" s="123"/>
      <c r="B1270" s="289"/>
      <c r="C1270" s="92"/>
      <c r="D1270" s="92"/>
      <c r="E1270" s="266"/>
    </row>
    <row r="1271" spans="1:5" ht="15.75">
      <c r="A1271" s="123"/>
      <c r="B1271" s="289"/>
      <c r="C1271" s="92"/>
      <c r="D1271" s="92"/>
      <c r="E1271" s="266"/>
    </row>
    <row r="1272" spans="1:5" ht="15.75">
      <c r="A1272" s="123"/>
      <c r="B1272" s="289"/>
      <c r="C1272" s="92"/>
      <c r="D1272" s="92"/>
      <c r="E1272" s="266"/>
    </row>
    <row r="1273" spans="1:5" ht="15.75">
      <c r="A1273" s="123"/>
      <c r="B1273" s="289"/>
      <c r="C1273" s="92"/>
      <c r="D1273" s="92"/>
      <c r="E1273" s="266"/>
    </row>
    <row r="1274" spans="1:5" ht="15.75">
      <c r="A1274" s="123"/>
      <c r="B1274" s="289"/>
      <c r="C1274" s="92"/>
      <c r="D1274" s="92"/>
      <c r="E1274" s="266"/>
    </row>
    <row r="1275" spans="1:5" ht="15.75">
      <c r="A1275" s="123"/>
      <c r="B1275" s="289"/>
      <c r="C1275" s="92"/>
      <c r="D1275" s="92"/>
      <c r="E1275" s="266"/>
    </row>
    <row r="1276" spans="1:5" ht="15.75">
      <c r="A1276" s="123"/>
      <c r="B1276" s="289"/>
      <c r="C1276" s="92"/>
      <c r="D1276" s="92"/>
      <c r="E1276" s="266"/>
    </row>
    <row r="1277" spans="1:5" ht="15.75">
      <c r="A1277" s="123"/>
      <c r="B1277" s="289"/>
      <c r="C1277" s="92"/>
      <c r="D1277" s="92"/>
      <c r="E1277" s="266"/>
    </row>
    <row r="1278" spans="1:5" ht="15.75">
      <c r="A1278" s="123"/>
      <c r="B1278" s="289"/>
      <c r="C1278" s="92"/>
      <c r="D1278" s="92"/>
      <c r="E1278" s="266"/>
    </row>
    <row r="1279" spans="1:5" ht="15.75">
      <c r="A1279" s="123"/>
      <c r="B1279" s="289"/>
      <c r="C1279" s="92"/>
      <c r="D1279" s="92"/>
      <c r="E1279" s="266"/>
    </row>
    <row r="1280" spans="1:5" ht="15.75">
      <c r="A1280" s="123"/>
      <c r="B1280" s="289"/>
      <c r="C1280" s="92"/>
      <c r="D1280" s="92"/>
      <c r="E1280" s="266"/>
    </row>
    <row r="1281" spans="1:5" ht="15.75">
      <c r="A1281" s="123"/>
      <c r="B1281" s="289"/>
      <c r="C1281" s="92"/>
      <c r="D1281" s="92"/>
      <c r="E1281" s="266"/>
    </row>
    <row r="1282" spans="1:5" ht="15.75">
      <c r="A1282" s="123"/>
      <c r="B1282" s="289"/>
      <c r="C1282" s="92"/>
      <c r="D1282" s="92"/>
      <c r="E1282" s="266"/>
    </row>
    <row r="1283" spans="1:5" ht="15.75">
      <c r="A1283" s="123"/>
      <c r="B1283" s="289"/>
      <c r="C1283" s="92"/>
      <c r="D1283" s="92"/>
      <c r="E1283" s="266"/>
    </row>
    <row r="1284" spans="1:5" ht="15.75">
      <c r="A1284" s="123"/>
      <c r="B1284" s="289"/>
      <c r="C1284" s="92"/>
      <c r="D1284" s="92"/>
      <c r="E1284" s="266"/>
    </row>
    <row r="1285" spans="1:5" ht="15.75">
      <c r="A1285" s="123"/>
      <c r="B1285" s="289"/>
      <c r="C1285" s="92"/>
      <c r="D1285" s="92"/>
      <c r="E1285" s="266"/>
    </row>
    <row r="1286" spans="1:5" ht="15.75">
      <c r="A1286" s="123"/>
      <c r="B1286" s="289"/>
      <c r="C1286" s="92"/>
      <c r="D1286" s="92"/>
      <c r="E1286" s="266"/>
    </row>
    <row r="1287" spans="1:5" ht="15.75">
      <c r="A1287" s="123"/>
      <c r="B1287" s="289"/>
      <c r="C1287" s="92"/>
      <c r="D1287" s="92"/>
      <c r="E1287" s="266"/>
    </row>
    <row r="1288" spans="1:5" ht="15.75">
      <c r="A1288" s="123"/>
      <c r="B1288" s="289"/>
      <c r="C1288" s="92"/>
      <c r="D1288" s="92"/>
      <c r="E1288" s="266"/>
    </row>
    <row r="1289" spans="1:5" ht="15.75">
      <c r="A1289" s="123"/>
      <c r="B1289" s="289"/>
      <c r="C1289" s="92"/>
      <c r="D1289" s="92"/>
      <c r="E1289" s="266"/>
    </row>
    <row r="1290" spans="1:5" ht="15.75">
      <c r="A1290" s="123"/>
      <c r="B1290" s="289"/>
      <c r="C1290" s="92"/>
      <c r="D1290" s="92"/>
      <c r="E1290" s="266"/>
    </row>
    <row r="1291" spans="1:5" ht="15.75">
      <c r="A1291" s="123"/>
      <c r="B1291" s="289"/>
      <c r="C1291" s="92"/>
      <c r="D1291" s="92"/>
      <c r="E1291" s="266"/>
    </row>
    <row r="1292" spans="1:5" ht="15.75">
      <c r="A1292" s="123"/>
      <c r="B1292" s="289"/>
      <c r="C1292" s="92"/>
      <c r="D1292" s="92"/>
      <c r="E1292" s="266"/>
    </row>
    <row r="1293" spans="1:5" ht="15.75">
      <c r="A1293" s="123"/>
      <c r="B1293" s="289"/>
      <c r="C1293" s="92"/>
      <c r="D1293" s="92"/>
      <c r="E1293" s="266"/>
    </row>
    <row r="1294" spans="1:5" ht="15.75">
      <c r="A1294" s="123"/>
      <c r="B1294" s="289"/>
      <c r="C1294" s="92"/>
      <c r="D1294" s="92"/>
      <c r="E1294" s="266"/>
    </row>
    <row r="1295" spans="1:5" ht="15.75">
      <c r="A1295" s="123"/>
      <c r="B1295" s="289"/>
      <c r="C1295" s="92"/>
      <c r="D1295" s="92"/>
      <c r="E1295" s="266"/>
    </row>
    <row r="1296" spans="1:5" ht="15.75">
      <c r="A1296" s="123"/>
      <c r="B1296" s="289"/>
      <c r="C1296" s="92"/>
      <c r="D1296" s="92"/>
      <c r="E1296" s="266"/>
    </row>
    <row r="1297" spans="1:5" ht="15.75">
      <c r="A1297" s="123"/>
      <c r="B1297" s="289"/>
      <c r="C1297" s="92"/>
      <c r="D1297" s="92"/>
      <c r="E1297" s="266"/>
    </row>
    <row r="1298" spans="1:5" ht="15.75">
      <c r="A1298" s="123"/>
      <c r="B1298" s="289"/>
      <c r="C1298" s="92"/>
      <c r="D1298" s="92"/>
      <c r="E1298" s="266"/>
    </row>
    <row r="1299" spans="1:5" ht="15.75">
      <c r="A1299" s="123"/>
      <c r="B1299" s="289"/>
      <c r="C1299" s="92"/>
      <c r="D1299" s="92"/>
      <c r="E1299" s="266"/>
    </row>
    <row r="1300" spans="1:5" ht="15.75">
      <c r="A1300" s="123"/>
      <c r="B1300" s="289"/>
      <c r="C1300" s="92"/>
      <c r="D1300" s="92"/>
      <c r="E1300" s="266"/>
    </row>
    <row r="1301" spans="1:5" ht="15.75">
      <c r="A1301" s="123"/>
      <c r="B1301" s="289"/>
      <c r="C1301" s="92"/>
      <c r="D1301" s="92"/>
      <c r="E1301" s="266"/>
    </row>
    <row r="1302" spans="1:5" ht="15.75">
      <c r="A1302" s="123"/>
      <c r="B1302" s="289"/>
      <c r="C1302" s="92"/>
      <c r="D1302" s="92"/>
      <c r="E1302" s="266"/>
    </row>
    <row r="1303" spans="1:5" ht="15.75">
      <c r="A1303" s="123"/>
      <c r="B1303" s="289"/>
      <c r="C1303" s="92"/>
      <c r="D1303" s="92"/>
      <c r="E1303" s="266"/>
    </row>
    <row r="1304" spans="1:5" ht="15.75">
      <c r="A1304" s="123"/>
      <c r="B1304" s="289"/>
      <c r="C1304" s="92"/>
      <c r="D1304" s="92"/>
      <c r="E1304" s="266"/>
    </row>
    <row r="1305" spans="1:5" ht="15.75">
      <c r="A1305" s="123"/>
      <c r="B1305" s="289"/>
      <c r="C1305" s="92"/>
      <c r="D1305" s="92"/>
      <c r="E1305" s="266"/>
    </row>
    <row r="1306" spans="1:5" ht="15.75">
      <c r="A1306" s="123"/>
      <c r="B1306" s="289"/>
      <c r="C1306" s="92"/>
      <c r="D1306" s="92"/>
      <c r="E1306" s="266"/>
    </row>
    <row r="1307" spans="1:5" ht="15.75">
      <c r="A1307" s="123"/>
      <c r="B1307" s="289"/>
      <c r="C1307" s="92"/>
      <c r="D1307" s="92"/>
      <c r="E1307" s="266"/>
    </row>
    <row r="1308" spans="1:5" ht="15.75">
      <c r="A1308" s="123"/>
      <c r="B1308" s="289"/>
      <c r="C1308" s="92"/>
      <c r="D1308" s="92"/>
      <c r="E1308" s="266"/>
    </row>
    <row r="1309" spans="1:5" ht="15.75">
      <c r="A1309" s="123"/>
      <c r="B1309" s="289"/>
      <c r="C1309" s="92"/>
      <c r="D1309" s="92"/>
      <c r="E1309" s="266"/>
    </row>
    <row r="1310" spans="1:5" ht="15.75">
      <c r="A1310" s="123"/>
      <c r="B1310" s="289"/>
      <c r="C1310" s="92"/>
      <c r="D1310" s="92"/>
      <c r="E1310" s="266"/>
    </row>
    <row r="1311" spans="1:5" ht="15.75">
      <c r="A1311" s="123"/>
      <c r="B1311" s="289"/>
      <c r="C1311" s="92"/>
      <c r="D1311" s="92"/>
      <c r="E1311" s="266"/>
    </row>
    <row r="1312" spans="1:5" ht="15.75">
      <c r="A1312" s="123"/>
      <c r="B1312" s="289"/>
      <c r="C1312" s="92"/>
      <c r="D1312" s="92"/>
      <c r="E1312" s="266"/>
    </row>
    <row r="1313" spans="1:5" ht="15.75">
      <c r="A1313" s="123"/>
      <c r="B1313" s="289"/>
      <c r="C1313" s="92"/>
      <c r="D1313" s="92"/>
      <c r="E1313" s="266"/>
    </row>
    <row r="1314" spans="1:5" ht="15.75">
      <c r="A1314" s="123"/>
      <c r="B1314" s="289"/>
      <c r="C1314" s="92"/>
      <c r="D1314" s="92"/>
      <c r="E1314" s="266"/>
    </row>
    <row r="1315" spans="1:5" ht="15.75">
      <c r="A1315" s="123"/>
      <c r="B1315" s="289"/>
      <c r="C1315" s="92"/>
      <c r="D1315" s="92"/>
      <c r="E1315" s="266"/>
    </row>
    <row r="1316" spans="1:5" ht="15.75">
      <c r="A1316" s="123"/>
      <c r="B1316" s="289"/>
      <c r="C1316" s="92"/>
      <c r="D1316" s="92"/>
      <c r="E1316" s="266"/>
    </row>
    <row r="1317" spans="1:5" ht="15.75">
      <c r="A1317" s="123"/>
      <c r="B1317" s="289"/>
      <c r="C1317" s="92"/>
      <c r="D1317" s="92"/>
      <c r="E1317" s="266"/>
    </row>
    <row r="1318" spans="1:5" ht="15.75">
      <c r="A1318" s="123"/>
      <c r="B1318" s="289"/>
      <c r="C1318" s="92"/>
      <c r="D1318" s="92"/>
      <c r="E1318" s="266"/>
    </row>
    <row r="1319" spans="1:5" ht="15.75">
      <c r="A1319" s="123"/>
      <c r="B1319" s="289"/>
      <c r="C1319" s="92"/>
      <c r="D1319" s="92"/>
      <c r="E1319" s="266"/>
    </row>
    <row r="1320" spans="1:5" ht="15.75">
      <c r="A1320" s="123"/>
      <c r="B1320" s="289"/>
      <c r="C1320" s="92"/>
      <c r="D1320" s="92"/>
      <c r="E1320" s="266"/>
    </row>
    <row r="1321" spans="1:5" ht="15.75">
      <c r="A1321" s="123"/>
      <c r="B1321" s="289"/>
      <c r="C1321" s="92"/>
      <c r="D1321" s="92"/>
      <c r="E1321" s="266"/>
    </row>
    <row r="1322" spans="1:5" ht="15.75">
      <c r="A1322" s="123"/>
      <c r="B1322" s="289"/>
      <c r="C1322" s="92"/>
      <c r="D1322" s="92"/>
      <c r="E1322" s="266"/>
    </row>
    <row r="1323" spans="1:5" ht="15.75">
      <c r="A1323" s="123"/>
      <c r="B1323" s="289"/>
      <c r="C1323" s="92"/>
      <c r="D1323" s="92"/>
      <c r="E1323" s="266"/>
    </row>
    <row r="1324" spans="1:5" ht="15.75">
      <c r="A1324" s="123"/>
      <c r="B1324" s="289"/>
      <c r="C1324" s="92"/>
      <c r="D1324" s="92"/>
      <c r="E1324" s="266"/>
    </row>
    <row r="1325" spans="1:5" ht="15.75">
      <c r="A1325" s="123"/>
      <c r="B1325" s="289"/>
      <c r="C1325" s="92"/>
      <c r="D1325" s="92"/>
      <c r="E1325" s="266"/>
    </row>
    <row r="1326" spans="1:5" ht="15.75">
      <c r="A1326" s="123"/>
      <c r="B1326" s="289"/>
      <c r="C1326" s="92"/>
      <c r="D1326" s="92"/>
      <c r="E1326" s="266"/>
    </row>
    <row r="1327" spans="1:5" ht="15.75">
      <c r="A1327" s="123"/>
      <c r="B1327" s="289"/>
      <c r="C1327" s="92"/>
      <c r="D1327" s="92"/>
      <c r="E1327" s="266"/>
    </row>
    <row r="1328" spans="1:5" ht="15.75">
      <c r="A1328" s="123"/>
      <c r="B1328" s="289"/>
      <c r="C1328" s="92"/>
      <c r="D1328" s="92"/>
      <c r="E1328" s="266"/>
    </row>
    <row r="1329" spans="1:5" ht="15.75">
      <c r="A1329" s="123"/>
      <c r="B1329" s="289"/>
      <c r="C1329" s="92"/>
      <c r="D1329" s="92"/>
      <c r="E1329" s="266"/>
    </row>
    <row r="1330" spans="1:5" ht="15.75">
      <c r="A1330" s="123"/>
      <c r="B1330" s="289"/>
      <c r="C1330" s="92"/>
      <c r="D1330" s="92"/>
      <c r="E1330" s="266"/>
    </row>
    <row r="1331" spans="1:5" ht="15.75">
      <c r="A1331" s="123"/>
      <c r="B1331" s="289"/>
      <c r="C1331" s="92"/>
      <c r="D1331" s="92"/>
      <c r="E1331" s="266"/>
    </row>
    <row r="1332" spans="1:5" ht="15.75">
      <c r="A1332" s="123"/>
      <c r="B1332" s="289"/>
      <c r="C1332" s="92"/>
      <c r="D1332" s="92"/>
      <c r="E1332" s="266"/>
    </row>
    <row r="1333" spans="1:5" ht="15.75">
      <c r="A1333" s="123"/>
      <c r="B1333" s="289"/>
      <c r="C1333" s="92"/>
      <c r="D1333" s="92"/>
      <c r="E1333" s="266"/>
    </row>
    <row r="1334" spans="1:5" ht="15.75">
      <c r="A1334" s="123"/>
      <c r="B1334" s="289"/>
      <c r="C1334" s="92"/>
      <c r="D1334" s="92"/>
      <c r="E1334" s="266"/>
    </row>
    <row r="1335" spans="1:5" ht="15.75">
      <c r="A1335" s="123"/>
      <c r="B1335" s="289"/>
      <c r="C1335" s="92"/>
      <c r="D1335" s="92"/>
      <c r="E1335" s="266"/>
    </row>
    <row r="1336" spans="1:5" ht="15.75">
      <c r="A1336" s="123"/>
      <c r="B1336" s="289"/>
      <c r="C1336" s="92"/>
      <c r="D1336" s="92"/>
      <c r="E1336" s="266"/>
    </row>
    <row r="1337" spans="1:5" ht="15.75">
      <c r="A1337" s="123"/>
      <c r="B1337" s="289"/>
      <c r="C1337" s="92"/>
      <c r="D1337" s="92"/>
      <c r="E1337" s="266"/>
    </row>
    <row r="1338" spans="1:5" ht="15.75">
      <c r="A1338" s="123"/>
      <c r="B1338" s="289"/>
      <c r="C1338" s="92"/>
      <c r="D1338" s="92"/>
      <c r="E1338" s="266"/>
    </row>
    <row r="1339" spans="1:5" ht="15.75">
      <c r="A1339" s="123"/>
      <c r="B1339" s="289"/>
      <c r="C1339" s="92"/>
      <c r="D1339" s="92"/>
      <c r="E1339" s="266"/>
    </row>
    <row r="1340" spans="1:5" ht="15.75">
      <c r="A1340" s="123"/>
      <c r="B1340" s="289"/>
      <c r="C1340" s="92"/>
      <c r="D1340" s="92"/>
      <c r="E1340" s="266"/>
    </row>
    <row r="1341" spans="1:5" ht="15.75">
      <c r="A1341" s="123"/>
      <c r="B1341" s="289"/>
      <c r="C1341" s="92"/>
      <c r="D1341" s="92"/>
      <c r="E1341" s="266"/>
    </row>
    <row r="1342" spans="1:5" ht="15.75">
      <c r="A1342" s="123"/>
      <c r="B1342" s="289"/>
      <c r="C1342" s="92"/>
      <c r="D1342" s="92"/>
      <c r="E1342" s="266"/>
    </row>
    <row r="1343" spans="1:5" ht="15.75">
      <c r="A1343" s="123"/>
      <c r="B1343" s="289"/>
      <c r="C1343" s="92"/>
      <c r="D1343" s="92"/>
      <c r="E1343" s="266"/>
    </row>
    <row r="1344" spans="1:5" ht="15.75">
      <c r="A1344" s="123"/>
      <c r="B1344" s="289"/>
      <c r="C1344" s="92"/>
      <c r="D1344" s="92"/>
      <c r="E1344" s="266"/>
    </row>
    <row r="1345" spans="1:5" ht="15.75">
      <c r="A1345" s="123"/>
      <c r="B1345" s="289"/>
      <c r="C1345" s="92"/>
      <c r="D1345" s="92"/>
      <c r="E1345" s="266"/>
    </row>
    <row r="1346" spans="1:5" ht="15.75">
      <c r="A1346" s="123"/>
      <c r="B1346" s="289"/>
      <c r="C1346" s="92"/>
      <c r="D1346" s="92"/>
      <c r="E1346" s="266"/>
    </row>
    <row r="1347" spans="1:5" ht="15.75">
      <c r="A1347" s="123"/>
      <c r="B1347" s="289"/>
      <c r="C1347" s="92"/>
      <c r="D1347" s="92"/>
      <c r="E1347" s="266"/>
    </row>
    <row r="1348" spans="1:5" ht="15.75">
      <c r="A1348" s="123"/>
      <c r="B1348" s="289"/>
      <c r="C1348" s="92"/>
      <c r="D1348" s="92"/>
      <c r="E1348" s="266"/>
    </row>
    <row r="1349" spans="1:5" ht="15.75">
      <c r="A1349" s="123"/>
      <c r="B1349" s="289"/>
      <c r="C1349" s="92"/>
      <c r="D1349" s="92"/>
      <c r="E1349" s="266"/>
    </row>
    <row r="1350" spans="1:5" ht="15.75">
      <c r="A1350" s="123"/>
      <c r="B1350" s="289"/>
      <c r="C1350" s="92"/>
      <c r="D1350" s="92"/>
      <c r="E1350" s="266"/>
    </row>
    <row r="1351" spans="1:5" ht="15.75">
      <c r="A1351" s="123"/>
      <c r="B1351" s="289"/>
      <c r="C1351" s="92"/>
      <c r="D1351" s="92"/>
      <c r="E1351" s="266"/>
    </row>
    <row r="1352" spans="1:5" ht="15.75">
      <c r="A1352" s="123"/>
      <c r="B1352" s="289"/>
      <c r="C1352" s="92"/>
      <c r="D1352" s="92"/>
      <c r="E1352" s="266"/>
    </row>
    <row r="1353" spans="1:5" ht="15.75">
      <c r="A1353" s="123"/>
      <c r="B1353" s="289"/>
      <c r="C1353" s="92"/>
      <c r="D1353" s="92"/>
      <c r="E1353" s="266"/>
    </row>
    <row r="1354" spans="1:5" ht="15.75">
      <c r="A1354" s="123"/>
      <c r="B1354" s="289"/>
      <c r="C1354" s="92"/>
      <c r="D1354" s="92"/>
      <c r="E1354" s="266"/>
    </row>
    <row r="1355" spans="1:5" ht="15.75">
      <c r="A1355" s="123"/>
      <c r="B1355" s="289"/>
      <c r="C1355" s="92"/>
      <c r="D1355" s="92"/>
      <c r="E1355" s="266"/>
    </row>
    <row r="1356" spans="1:5" ht="15.75">
      <c r="A1356" s="123"/>
      <c r="B1356" s="289"/>
      <c r="C1356" s="92"/>
      <c r="D1356" s="92"/>
      <c r="E1356" s="266"/>
    </row>
    <row r="1357" spans="1:5" ht="15.75">
      <c r="A1357" s="123"/>
      <c r="B1357" s="289"/>
      <c r="C1357" s="92"/>
      <c r="D1357" s="92"/>
      <c r="E1357" s="266"/>
    </row>
    <row r="1358" spans="1:5" ht="15.75">
      <c r="A1358" s="123"/>
      <c r="B1358" s="289"/>
      <c r="C1358" s="92"/>
      <c r="D1358" s="92"/>
      <c r="E1358" s="266"/>
    </row>
    <row r="1359" spans="1:5" ht="15.75">
      <c r="A1359" s="123"/>
      <c r="B1359" s="289"/>
      <c r="C1359" s="92"/>
      <c r="D1359" s="92"/>
      <c r="E1359" s="266"/>
    </row>
    <row r="1360" spans="1:5" ht="15.75">
      <c r="A1360" s="123"/>
      <c r="B1360" s="289"/>
      <c r="C1360" s="92"/>
      <c r="D1360" s="92"/>
      <c r="E1360" s="266"/>
    </row>
    <row r="1361" spans="1:5" ht="15.75">
      <c r="A1361" s="123"/>
      <c r="B1361" s="289"/>
      <c r="C1361" s="92"/>
      <c r="D1361" s="92"/>
      <c r="E1361" s="266"/>
    </row>
    <row r="1362" spans="1:5" ht="15.75">
      <c r="A1362" s="123"/>
      <c r="B1362" s="289"/>
      <c r="C1362" s="92"/>
      <c r="D1362" s="92"/>
      <c r="E1362" s="266"/>
    </row>
    <row r="1363" spans="1:5" ht="15.75">
      <c r="A1363" s="123"/>
      <c r="B1363" s="289"/>
      <c r="C1363" s="92"/>
      <c r="D1363" s="92"/>
      <c r="E1363" s="266"/>
    </row>
    <row r="1364" spans="1:5" ht="15.75">
      <c r="A1364" s="123"/>
      <c r="B1364" s="289"/>
      <c r="C1364" s="92"/>
      <c r="D1364" s="92"/>
      <c r="E1364" s="266"/>
    </row>
    <row r="1365" spans="1:5" ht="15.75">
      <c r="A1365" s="123"/>
      <c r="B1365" s="289"/>
      <c r="C1365" s="92"/>
      <c r="D1365" s="92"/>
      <c r="E1365" s="266"/>
    </row>
    <row r="1366" spans="1:5" ht="15.75">
      <c r="A1366" s="123"/>
      <c r="B1366" s="289"/>
      <c r="C1366" s="92"/>
      <c r="D1366" s="92"/>
      <c r="E1366" s="266"/>
    </row>
    <row r="1367" spans="1:5" ht="15.75">
      <c r="A1367" s="123"/>
      <c r="B1367" s="289"/>
      <c r="C1367" s="92"/>
      <c r="D1367" s="92"/>
      <c r="E1367" s="266"/>
    </row>
    <row r="1368" spans="1:5" ht="15.75">
      <c r="A1368" s="123"/>
      <c r="B1368" s="289"/>
      <c r="C1368" s="92"/>
      <c r="D1368" s="92"/>
      <c r="E1368" s="266"/>
    </row>
    <row r="1369" spans="1:5" ht="15.75">
      <c r="A1369" s="123"/>
      <c r="B1369" s="289"/>
      <c r="C1369" s="92"/>
      <c r="D1369" s="92"/>
      <c r="E1369" s="266"/>
    </row>
    <row r="1370" spans="1:5" ht="15.75">
      <c r="A1370" s="123"/>
      <c r="B1370" s="289"/>
      <c r="C1370" s="92"/>
      <c r="D1370" s="92"/>
      <c r="E1370" s="266"/>
    </row>
    <row r="1371" spans="1:5" ht="15.75">
      <c r="A1371" s="123"/>
      <c r="B1371" s="289"/>
      <c r="C1371" s="92"/>
      <c r="D1371" s="92"/>
      <c r="E1371" s="266"/>
    </row>
    <row r="1372" spans="1:5" ht="15.75">
      <c r="A1372" s="123"/>
      <c r="B1372" s="289"/>
      <c r="C1372" s="92"/>
      <c r="D1372" s="92"/>
      <c r="E1372" s="266"/>
    </row>
    <row r="1373" spans="1:5" ht="15.75">
      <c r="A1373" s="123"/>
      <c r="B1373" s="289"/>
      <c r="C1373" s="92"/>
      <c r="D1373" s="92"/>
      <c r="E1373" s="266"/>
    </row>
    <row r="1374" spans="1:5" ht="15.75">
      <c r="A1374" s="123"/>
      <c r="B1374" s="289"/>
      <c r="C1374" s="92"/>
      <c r="D1374" s="92"/>
      <c r="E1374" s="266"/>
    </row>
    <row r="1375" spans="1:5" ht="15.75">
      <c r="A1375" s="123"/>
      <c r="B1375" s="289"/>
      <c r="C1375" s="92"/>
      <c r="D1375" s="92"/>
      <c r="E1375" s="266"/>
    </row>
    <row r="1376" spans="1:5" ht="15.75">
      <c r="A1376" s="123"/>
      <c r="B1376" s="289"/>
      <c r="C1376" s="92"/>
      <c r="D1376" s="92"/>
      <c r="E1376" s="266"/>
    </row>
    <row r="1377" spans="1:5" ht="15.75">
      <c r="A1377" s="123"/>
      <c r="B1377" s="289"/>
      <c r="C1377" s="92"/>
      <c r="D1377" s="92"/>
      <c r="E1377" s="266"/>
    </row>
    <row r="1378" spans="1:5" ht="15.75">
      <c r="A1378" s="123"/>
      <c r="B1378" s="289"/>
      <c r="C1378" s="92"/>
      <c r="D1378" s="92"/>
      <c r="E1378" s="266"/>
    </row>
    <row r="1379" spans="1:5" ht="15.75">
      <c r="A1379" s="123"/>
      <c r="B1379" s="289"/>
      <c r="C1379" s="92"/>
      <c r="D1379" s="92"/>
      <c r="E1379" s="266"/>
    </row>
    <row r="1380" spans="1:5" ht="15.75">
      <c r="A1380" s="123"/>
      <c r="B1380" s="289"/>
      <c r="C1380" s="92"/>
      <c r="D1380" s="92"/>
      <c r="E1380" s="266"/>
    </row>
    <row r="1381" spans="1:5" ht="15.75">
      <c r="A1381" s="123"/>
      <c r="B1381" s="289"/>
      <c r="C1381" s="92"/>
      <c r="D1381" s="92"/>
      <c r="E1381" s="266"/>
    </row>
    <row r="1382" spans="1:5" ht="15.75">
      <c r="A1382" s="123"/>
      <c r="B1382" s="289"/>
      <c r="C1382" s="92"/>
      <c r="D1382" s="92"/>
      <c r="E1382" s="266"/>
    </row>
    <row r="1383" spans="1:5" ht="15.75">
      <c r="A1383" s="123"/>
      <c r="B1383" s="289"/>
      <c r="C1383" s="92"/>
      <c r="D1383" s="92"/>
      <c r="E1383" s="266"/>
    </row>
    <row r="1384" spans="1:5" ht="15.75">
      <c r="A1384" s="123"/>
      <c r="B1384" s="289"/>
      <c r="C1384" s="92"/>
      <c r="D1384" s="92"/>
      <c r="E1384" s="266"/>
    </row>
    <row r="1385" spans="1:5" ht="15.75">
      <c r="A1385" s="123"/>
      <c r="B1385" s="289"/>
      <c r="C1385" s="92"/>
      <c r="D1385" s="92"/>
      <c r="E1385" s="266"/>
    </row>
    <row r="1386" spans="1:5" ht="15.75">
      <c r="A1386" s="123"/>
      <c r="B1386" s="289"/>
      <c r="C1386" s="92"/>
      <c r="D1386" s="92"/>
      <c r="E1386" s="266"/>
    </row>
    <row r="1387" spans="1:5" ht="15.75">
      <c r="A1387" s="123"/>
      <c r="B1387" s="289"/>
      <c r="C1387" s="92"/>
      <c r="D1387" s="92"/>
      <c r="E1387" s="266"/>
    </row>
    <row r="1388" spans="1:5" ht="15.75">
      <c r="A1388" s="123"/>
      <c r="B1388" s="289"/>
      <c r="C1388" s="92"/>
      <c r="D1388" s="92"/>
      <c r="E1388" s="266"/>
    </row>
    <row r="1389" spans="1:5" ht="15.75">
      <c r="A1389" s="123"/>
      <c r="B1389" s="289"/>
      <c r="C1389" s="92"/>
      <c r="D1389" s="92"/>
      <c r="E1389" s="266"/>
    </row>
    <row r="1390" spans="1:5" ht="15.75">
      <c r="A1390" s="123"/>
      <c r="B1390" s="289"/>
      <c r="C1390" s="92"/>
      <c r="D1390" s="92"/>
      <c r="E1390" s="266"/>
    </row>
    <row r="1391" spans="1:5" ht="15.75">
      <c r="A1391" s="123"/>
      <c r="B1391" s="289"/>
      <c r="C1391" s="92"/>
      <c r="D1391" s="92"/>
      <c r="E1391" s="266"/>
    </row>
    <row r="1392" spans="1:5" ht="15.75">
      <c r="A1392" s="123"/>
      <c r="B1392" s="289"/>
      <c r="C1392" s="92"/>
      <c r="D1392" s="92"/>
      <c r="E1392" s="266"/>
    </row>
    <row r="1393" spans="1:5" ht="15.75">
      <c r="A1393" s="123"/>
      <c r="B1393" s="289"/>
      <c r="C1393" s="92"/>
      <c r="D1393" s="92"/>
      <c r="E1393" s="266"/>
    </row>
    <row r="1394" spans="1:5" ht="15.75">
      <c r="A1394" s="123"/>
      <c r="B1394" s="289"/>
      <c r="C1394" s="92"/>
      <c r="D1394" s="92"/>
      <c r="E1394" s="266"/>
    </row>
    <row r="1395" spans="1:5" ht="15.75">
      <c r="A1395" s="123"/>
      <c r="B1395" s="289"/>
      <c r="C1395" s="92"/>
      <c r="D1395" s="92"/>
      <c r="E1395" s="266"/>
    </row>
    <row r="1396" spans="1:5" ht="15.75">
      <c r="A1396" s="123"/>
      <c r="B1396" s="289"/>
      <c r="C1396" s="92"/>
      <c r="D1396" s="92"/>
      <c r="E1396" s="266"/>
    </row>
    <row r="1397" spans="1:5" ht="15.75">
      <c r="A1397" s="123"/>
      <c r="B1397" s="289"/>
      <c r="C1397" s="92"/>
      <c r="D1397" s="92"/>
      <c r="E1397" s="266"/>
    </row>
    <row r="1398" spans="1:5" ht="15.75">
      <c r="A1398" s="123"/>
      <c r="B1398" s="289"/>
      <c r="C1398" s="92"/>
      <c r="D1398" s="92"/>
      <c r="E1398" s="266"/>
    </row>
    <row r="1399" spans="1:5" ht="15.75">
      <c r="A1399" s="123"/>
      <c r="B1399" s="289"/>
      <c r="C1399" s="92"/>
      <c r="D1399" s="92"/>
      <c r="E1399" s="266"/>
    </row>
    <row r="1400" spans="1:5" ht="15.75">
      <c r="A1400" s="123"/>
      <c r="B1400" s="289"/>
      <c r="C1400" s="92"/>
      <c r="D1400" s="92"/>
      <c r="E1400" s="266"/>
    </row>
    <row r="1401" spans="1:5" ht="15.75">
      <c r="A1401" s="123"/>
      <c r="B1401" s="289"/>
      <c r="C1401" s="92"/>
      <c r="D1401" s="92"/>
      <c r="E1401" s="266"/>
    </row>
    <row r="1402" spans="1:5" ht="15.75">
      <c r="A1402" s="123"/>
      <c r="B1402" s="289"/>
      <c r="C1402" s="92"/>
      <c r="D1402" s="92"/>
      <c r="E1402" s="266"/>
    </row>
    <row r="1403" spans="1:5" ht="15.75">
      <c r="A1403" s="123"/>
      <c r="B1403" s="289"/>
      <c r="C1403" s="92"/>
      <c r="D1403" s="92"/>
      <c r="E1403" s="266"/>
    </row>
    <row r="1404" spans="1:5" ht="15.75">
      <c r="A1404" s="123"/>
      <c r="B1404" s="289"/>
      <c r="C1404" s="92"/>
      <c r="D1404" s="92"/>
      <c r="E1404" s="266"/>
    </row>
    <row r="1405" spans="1:5" ht="15.75">
      <c r="A1405" s="123"/>
      <c r="B1405" s="289"/>
      <c r="C1405" s="92"/>
      <c r="D1405" s="92"/>
      <c r="E1405" s="266"/>
    </row>
    <row r="1406" spans="1:5" ht="15.75">
      <c r="A1406" s="123"/>
      <c r="B1406" s="289"/>
      <c r="C1406" s="92"/>
      <c r="D1406" s="92"/>
      <c r="E1406" s="266"/>
    </row>
    <row r="1407" spans="1:5" ht="15.75">
      <c r="A1407" s="123"/>
      <c r="B1407" s="289"/>
      <c r="C1407" s="92"/>
      <c r="D1407" s="92"/>
      <c r="E1407" s="266"/>
    </row>
    <row r="1408" spans="1:5" ht="15.75">
      <c r="A1408" s="123"/>
      <c r="B1408" s="289"/>
      <c r="C1408" s="92"/>
      <c r="D1408" s="92"/>
      <c r="E1408" s="266"/>
    </row>
    <row r="1409" spans="1:5" ht="15.75">
      <c r="A1409" s="123"/>
      <c r="B1409" s="289"/>
      <c r="C1409" s="92"/>
      <c r="D1409" s="92"/>
      <c r="E1409" s="266"/>
    </row>
    <row r="1410" spans="1:5" ht="15.75">
      <c r="A1410" s="123"/>
      <c r="B1410" s="289"/>
      <c r="C1410" s="92"/>
      <c r="D1410" s="92"/>
      <c r="E1410" s="266"/>
    </row>
    <row r="1411" spans="1:5" ht="15.75">
      <c r="A1411" s="123"/>
      <c r="B1411" s="289"/>
      <c r="C1411" s="92"/>
      <c r="D1411" s="92"/>
      <c r="E1411" s="266"/>
    </row>
    <row r="1412" spans="1:5" ht="15.75">
      <c r="A1412" s="123"/>
      <c r="B1412" s="289"/>
      <c r="C1412" s="92"/>
      <c r="D1412" s="92"/>
      <c r="E1412" s="266"/>
    </row>
    <row r="1413" spans="1:5" ht="15.75">
      <c r="A1413" s="123"/>
      <c r="B1413" s="289"/>
      <c r="C1413" s="92"/>
      <c r="D1413" s="92"/>
      <c r="E1413" s="266"/>
    </row>
    <row r="1414" spans="1:5" ht="15.75">
      <c r="A1414" s="123"/>
      <c r="B1414" s="289"/>
      <c r="C1414" s="92"/>
      <c r="D1414" s="92"/>
      <c r="E1414" s="266"/>
    </row>
    <row r="1415" spans="1:5" ht="15.75">
      <c r="A1415" s="123"/>
      <c r="B1415" s="289"/>
      <c r="C1415" s="92"/>
      <c r="D1415" s="92"/>
      <c r="E1415" s="266"/>
    </row>
    <row r="1416" spans="1:5" ht="15.75">
      <c r="A1416" s="123"/>
      <c r="B1416" s="289"/>
      <c r="C1416" s="92"/>
      <c r="D1416" s="92"/>
      <c r="E1416" s="266"/>
    </row>
    <row r="1417" spans="1:5" ht="15.75">
      <c r="A1417" s="123"/>
      <c r="B1417" s="289"/>
      <c r="C1417" s="92"/>
      <c r="D1417" s="92"/>
      <c r="E1417" s="266"/>
    </row>
    <row r="1418" spans="1:5" ht="15.75">
      <c r="A1418" s="123"/>
      <c r="B1418" s="289"/>
      <c r="C1418" s="92"/>
      <c r="D1418" s="92"/>
      <c r="E1418" s="266"/>
    </row>
    <row r="1419" spans="1:5" ht="15.75">
      <c r="A1419" s="123"/>
      <c r="B1419" s="289"/>
      <c r="C1419" s="92"/>
      <c r="D1419" s="92"/>
      <c r="E1419" s="266"/>
    </row>
    <row r="1420" spans="1:5" ht="15.75">
      <c r="A1420" s="123"/>
      <c r="B1420" s="289"/>
      <c r="C1420" s="92"/>
      <c r="D1420" s="92"/>
      <c r="E1420" s="266"/>
    </row>
    <row r="1421" spans="1:5" ht="15.75">
      <c r="A1421" s="123"/>
      <c r="B1421" s="289"/>
      <c r="C1421" s="92"/>
      <c r="D1421" s="92"/>
      <c r="E1421" s="266"/>
    </row>
    <row r="1422" spans="1:5" ht="15.75">
      <c r="A1422" s="123"/>
      <c r="B1422" s="289"/>
      <c r="C1422" s="92"/>
      <c r="D1422" s="92"/>
      <c r="E1422" s="266"/>
    </row>
    <row r="1423" spans="1:5" ht="15.75">
      <c r="A1423" s="123"/>
      <c r="B1423" s="289"/>
      <c r="C1423" s="92"/>
      <c r="D1423" s="92"/>
      <c r="E1423" s="266"/>
    </row>
    <row r="1424" spans="1:5" ht="15.75">
      <c r="A1424" s="123"/>
      <c r="B1424" s="289"/>
      <c r="C1424" s="92"/>
      <c r="D1424" s="92"/>
      <c r="E1424" s="266"/>
    </row>
    <row r="1425" spans="1:5" ht="15.75">
      <c r="A1425" s="123"/>
      <c r="B1425" s="289"/>
      <c r="C1425" s="92"/>
      <c r="D1425" s="92"/>
      <c r="E1425" s="266"/>
    </row>
    <row r="1426" spans="1:5" ht="15.75">
      <c r="A1426" s="123"/>
      <c r="B1426" s="289"/>
      <c r="C1426" s="92"/>
      <c r="D1426" s="92"/>
      <c r="E1426" s="266"/>
    </row>
    <row r="1427" spans="1:5" ht="15.75">
      <c r="A1427" s="123"/>
      <c r="B1427" s="289"/>
      <c r="C1427" s="92"/>
      <c r="D1427" s="92"/>
      <c r="E1427" s="266"/>
    </row>
    <row r="1428" spans="1:5" ht="15.75">
      <c r="A1428" s="123"/>
      <c r="B1428" s="289"/>
      <c r="C1428" s="92"/>
      <c r="D1428" s="92"/>
      <c r="E1428" s="266"/>
    </row>
    <row r="1429" spans="1:5" ht="15.75">
      <c r="A1429" s="123"/>
      <c r="B1429" s="289"/>
      <c r="C1429" s="92"/>
      <c r="D1429" s="92"/>
      <c r="E1429" s="266"/>
    </row>
    <row r="1430" spans="1:5" ht="15.75">
      <c r="A1430" s="123"/>
      <c r="B1430" s="289"/>
      <c r="C1430" s="92"/>
      <c r="D1430" s="92"/>
      <c r="E1430" s="266"/>
    </row>
    <row r="1431" spans="1:5" ht="15.75">
      <c r="A1431" s="123"/>
      <c r="B1431" s="289"/>
      <c r="C1431" s="92"/>
      <c r="D1431" s="92"/>
      <c r="E1431" s="266"/>
    </row>
    <row r="1432" spans="1:5" ht="15.75">
      <c r="A1432" s="123"/>
      <c r="B1432" s="289"/>
      <c r="C1432" s="92"/>
      <c r="D1432" s="92"/>
      <c r="E1432" s="266"/>
    </row>
    <row r="1433" spans="1:5" ht="15.75">
      <c r="A1433" s="123"/>
      <c r="B1433" s="289"/>
      <c r="C1433" s="92"/>
      <c r="D1433" s="92"/>
      <c r="E1433" s="266"/>
    </row>
    <row r="1434" spans="1:5" ht="15.75">
      <c r="A1434" s="123"/>
      <c r="B1434" s="289"/>
      <c r="C1434" s="92"/>
      <c r="D1434" s="92"/>
      <c r="E1434" s="266"/>
    </row>
    <row r="1435" spans="1:5" ht="15.75">
      <c r="A1435" s="123"/>
      <c r="B1435" s="289"/>
      <c r="C1435" s="92"/>
      <c r="D1435" s="92"/>
      <c r="E1435" s="266"/>
    </row>
    <row r="1436" spans="1:5" ht="15.75">
      <c r="A1436" s="123"/>
      <c r="B1436" s="289"/>
      <c r="C1436" s="92"/>
      <c r="D1436" s="92"/>
      <c r="E1436" s="266"/>
    </row>
    <row r="1437" spans="1:5" ht="15.75">
      <c r="A1437" s="123"/>
      <c r="B1437" s="289"/>
      <c r="C1437" s="92"/>
      <c r="D1437" s="92"/>
      <c r="E1437" s="266"/>
    </row>
    <row r="1438" spans="1:5" ht="15.75">
      <c r="A1438" s="123"/>
      <c r="B1438" s="289"/>
      <c r="C1438" s="92"/>
      <c r="D1438" s="92"/>
      <c r="E1438" s="266"/>
    </row>
    <row r="1439" spans="1:5" ht="15.75">
      <c r="A1439" s="123"/>
      <c r="B1439" s="289"/>
      <c r="C1439" s="92"/>
      <c r="D1439" s="92"/>
      <c r="E1439" s="266"/>
    </row>
    <row r="1440" spans="1:5" ht="15.75">
      <c r="A1440" s="123"/>
      <c r="B1440" s="289"/>
      <c r="C1440" s="92"/>
      <c r="D1440" s="92"/>
      <c r="E1440" s="266"/>
    </row>
    <row r="1441" spans="1:5" ht="15.75">
      <c r="A1441" s="123"/>
      <c r="B1441" s="289"/>
      <c r="C1441" s="92"/>
      <c r="D1441" s="92"/>
      <c r="E1441" s="266"/>
    </row>
    <row r="1442" spans="1:5" ht="15.75">
      <c r="A1442" s="123"/>
      <c r="B1442" s="289"/>
      <c r="C1442" s="92"/>
      <c r="D1442" s="92"/>
      <c r="E1442" s="266"/>
    </row>
    <row r="1443" spans="1:5" ht="15.75">
      <c r="A1443" s="123"/>
      <c r="B1443" s="289"/>
      <c r="C1443" s="92"/>
      <c r="D1443" s="92"/>
      <c r="E1443" s="266"/>
    </row>
    <row r="1444" spans="1:5" ht="15.75">
      <c r="A1444" s="123"/>
      <c r="B1444" s="289"/>
      <c r="C1444" s="92"/>
      <c r="D1444" s="92"/>
      <c r="E1444" s="266"/>
    </row>
    <row r="1445" spans="1:5" ht="15.75">
      <c r="A1445" s="123"/>
      <c r="B1445" s="289"/>
      <c r="C1445" s="92"/>
      <c r="D1445" s="92"/>
      <c r="E1445" s="266"/>
    </row>
    <row r="1446" spans="1:5" ht="15.75">
      <c r="A1446" s="123"/>
      <c r="B1446" s="289"/>
      <c r="C1446" s="92"/>
      <c r="D1446" s="92"/>
      <c r="E1446" s="266"/>
    </row>
    <row r="1447" spans="1:5" ht="15.75">
      <c r="A1447" s="123"/>
      <c r="B1447" s="289"/>
      <c r="C1447" s="92"/>
      <c r="D1447" s="92"/>
      <c r="E1447" s="266"/>
    </row>
    <row r="1448" spans="1:5" ht="15.75">
      <c r="A1448" s="123"/>
      <c r="B1448" s="289"/>
      <c r="C1448" s="92"/>
      <c r="D1448" s="92"/>
      <c r="E1448" s="266"/>
    </row>
    <row r="1449" spans="1:5" ht="15.75">
      <c r="A1449" s="123"/>
      <c r="B1449" s="289"/>
      <c r="C1449" s="92"/>
      <c r="D1449" s="92"/>
      <c r="E1449" s="266"/>
    </row>
    <row r="1450" spans="1:5" ht="15.75">
      <c r="A1450" s="123"/>
      <c r="B1450" s="289"/>
      <c r="C1450" s="92"/>
      <c r="D1450" s="92"/>
      <c r="E1450" s="266"/>
    </row>
    <row r="1451" spans="1:5" ht="15.75">
      <c r="A1451" s="123"/>
      <c r="B1451" s="289"/>
      <c r="C1451" s="92"/>
      <c r="D1451" s="92"/>
      <c r="E1451" s="266"/>
    </row>
    <row r="1452" spans="1:5" ht="15.75">
      <c r="A1452" s="123"/>
      <c r="B1452" s="289"/>
      <c r="C1452" s="92"/>
      <c r="D1452" s="92"/>
      <c r="E1452" s="266"/>
    </row>
    <row r="1453" spans="1:5" ht="15.75">
      <c r="A1453" s="123"/>
      <c r="B1453" s="289"/>
      <c r="C1453" s="92"/>
      <c r="D1453" s="92"/>
      <c r="E1453" s="266"/>
    </row>
    <row r="1454" spans="1:5" ht="15.75">
      <c r="A1454" s="123"/>
      <c r="B1454" s="289"/>
      <c r="C1454" s="92"/>
      <c r="D1454" s="92"/>
      <c r="E1454" s="266"/>
    </row>
    <row r="1455" spans="1:5" ht="15.75">
      <c r="A1455" s="123"/>
      <c r="B1455" s="289"/>
      <c r="C1455" s="92"/>
      <c r="D1455" s="92"/>
      <c r="E1455" s="266"/>
    </row>
    <row r="1456" spans="1:5" ht="15.75">
      <c r="A1456" s="123"/>
      <c r="B1456" s="289"/>
      <c r="C1456" s="92"/>
      <c r="D1456" s="92"/>
      <c r="E1456" s="266"/>
    </row>
    <row r="1457" spans="1:5" ht="15.75">
      <c r="A1457" s="123"/>
      <c r="B1457" s="289"/>
      <c r="C1457" s="92"/>
      <c r="D1457" s="92"/>
      <c r="E1457" s="266"/>
    </row>
    <row r="1458" spans="1:5" ht="15.75">
      <c r="A1458" s="123"/>
      <c r="B1458" s="289"/>
      <c r="C1458" s="92"/>
      <c r="D1458" s="92"/>
      <c r="E1458" s="266"/>
    </row>
    <row r="1459" spans="1:5" ht="15.75">
      <c r="A1459" s="123"/>
      <c r="B1459" s="289"/>
      <c r="C1459" s="92"/>
      <c r="D1459" s="92"/>
      <c r="E1459" s="266"/>
    </row>
    <row r="1460" spans="1:5" ht="15.75">
      <c r="A1460" s="123"/>
      <c r="B1460" s="289"/>
      <c r="C1460" s="92"/>
      <c r="D1460" s="92"/>
      <c r="E1460" s="266"/>
    </row>
    <row r="1461" spans="1:5" ht="15.75">
      <c r="A1461" s="123"/>
      <c r="B1461" s="289"/>
      <c r="C1461" s="92"/>
      <c r="D1461" s="92"/>
      <c r="E1461" s="266"/>
    </row>
    <row r="1462" spans="1:5" ht="15.75">
      <c r="A1462" s="123"/>
      <c r="B1462" s="289"/>
      <c r="C1462" s="92"/>
      <c r="D1462" s="92"/>
      <c r="E1462" s="266"/>
    </row>
    <row r="1463" spans="1:5" ht="15.75">
      <c r="A1463" s="123"/>
      <c r="B1463" s="289"/>
      <c r="C1463" s="92"/>
      <c r="D1463" s="92"/>
      <c r="E1463" s="266"/>
    </row>
    <row r="1464" spans="1:5" ht="15.75">
      <c r="A1464" s="123"/>
      <c r="B1464" s="289"/>
      <c r="C1464" s="92"/>
      <c r="D1464" s="92"/>
      <c r="E1464" s="266"/>
    </row>
    <row r="1465" spans="1:5" ht="15.75">
      <c r="A1465" s="123"/>
      <c r="B1465" s="289"/>
      <c r="C1465" s="92"/>
      <c r="D1465" s="92"/>
      <c r="E1465" s="266"/>
    </row>
    <row r="1466" spans="1:5" ht="15.75">
      <c r="A1466" s="123"/>
      <c r="B1466" s="289"/>
      <c r="C1466" s="92"/>
      <c r="D1466" s="92"/>
      <c r="E1466" s="266"/>
    </row>
    <row r="1467" spans="1:5" ht="15.75">
      <c r="A1467" s="123"/>
      <c r="B1467" s="289"/>
      <c r="C1467" s="92"/>
      <c r="D1467" s="92"/>
      <c r="E1467" s="266"/>
    </row>
    <row r="1468" spans="1:5" ht="15.75">
      <c r="A1468" s="123"/>
      <c r="B1468" s="289"/>
      <c r="C1468" s="92"/>
      <c r="D1468" s="92"/>
      <c r="E1468" s="266"/>
    </row>
    <row r="1469" spans="1:5" ht="15.75">
      <c r="A1469" s="123"/>
      <c r="B1469" s="289"/>
      <c r="C1469" s="92"/>
      <c r="D1469" s="92"/>
      <c r="E1469" s="266"/>
    </row>
    <row r="1470" spans="1:5" ht="15.75">
      <c r="A1470" s="123"/>
      <c r="B1470" s="289"/>
      <c r="C1470" s="92"/>
      <c r="D1470" s="92"/>
      <c r="E1470" s="266"/>
    </row>
    <row r="1471" spans="1:5" ht="15.75">
      <c r="A1471" s="123"/>
      <c r="B1471" s="289"/>
      <c r="C1471" s="92"/>
      <c r="D1471" s="92"/>
      <c r="E1471" s="266"/>
    </row>
    <row r="1472" spans="1:5" ht="15.75">
      <c r="A1472" s="123"/>
      <c r="B1472" s="289"/>
      <c r="C1472" s="92"/>
      <c r="D1472" s="92"/>
      <c r="E1472" s="266"/>
    </row>
    <row r="1473" spans="1:5" ht="15.75">
      <c r="A1473" s="123"/>
      <c r="B1473" s="289"/>
      <c r="C1473" s="92"/>
      <c r="D1473" s="92"/>
      <c r="E1473" s="266"/>
    </row>
    <row r="1474" spans="1:5" ht="15.75">
      <c r="A1474" s="123"/>
      <c r="B1474" s="289"/>
      <c r="C1474" s="92"/>
      <c r="D1474" s="92"/>
      <c r="E1474" s="266"/>
    </row>
    <row r="1475" spans="1:5" ht="15.75">
      <c r="A1475" s="123"/>
      <c r="B1475" s="289"/>
      <c r="C1475" s="92"/>
      <c r="D1475" s="92"/>
      <c r="E1475" s="266"/>
    </row>
    <row r="1476" spans="1:5" ht="15.75">
      <c r="A1476" s="123"/>
      <c r="B1476" s="289"/>
      <c r="C1476" s="92"/>
      <c r="D1476" s="92"/>
      <c r="E1476" s="266"/>
    </row>
    <row r="1477" spans="1:5" ht="15.75">
      <c r="A1477" s="123"/>
      <c r="B1477" s="289"/>
      <c r="C1477" s="92"/>
      <c r="D1477" s="92"/>
      <c r="E1477" s="266"/>
    </row>
    <row r="1478" spans="1:5" ht="15.75">
      <c r="A1478" s="123"/>
      <c r="B1478" s="289"/>
      <c r="C1478" s="92"/>
      <c r="D1478" s="92"/>
      <c r="E1478" s="266"/>
    </row>
    <row r="1479" spans="1:5" ht="15.75">
      <c r="A1479" s="123"/>
      <c r="B1479" s="289"/>
      <c r="C1479" s="92"/>
      <c r="D1479" s="92"/>
      <c r="E1479" s="266"/>
    </row>
    <row r="1480" spans="1:5" ht="15.75">
      <c r="A1480" s="123"/>
      <c r="B1480" s="289"/>
      <c r="C1480" s="92"/>
      <c r="D1480" s="92"/>
      <c r="E1480" s="266"/>
    </row>
    <row r="1481" spans="1:5" ht="15.75">
      <c r="A1481" s="123"/>
      <c r="B1481" s="289"/>
      <c r="C1481" s="92"/>
      <c r="D1481" s="92"/>
      <c r="E1481" s="266"/>
    </row>
    <row r="1482" spans="1:5" ht="15.75">
      <c r="A1482" s="123"/>
      <c r="B1482" s="289"/>
      <c r="C1482" s="92"/>
      <c r="D1482" s="92"/>
      <c r="E1482" s="266"/>
    </row>
    <row r="1483" spans="1:5" ht="15.75">
      <c r="A1483" s="123"/>
      <c r="B1483" s="289"/>
      <c r="C1483" s="92"/>
      <c r="D1483" s="92"/>
      <c r="E1483" s="266"/>
    </row>
    <row r="1484" spans="1:5" ht="15.75">
      <c r="A1484" s="123"/>
      <c r="B1484" s="289"/>
      <c r="C1484" s="92"/>
      <c r="D1484" s="92"/>
      <c r="E1484" s="266"/>
    </row>
    <row r="1485" spans="1:5" ht="15.75">
      <c r="A1485" s="123"/>
      <c r="B1485" s="289"/>
      <c r="C1485" s="92"/>
      <c r="D1485" s="92"/>
      <c r="E1485" s="266"/>
    </row>
    <row r="1486" spans="1:5" ht="15.75">
      <c r="A1486" s="123"/>
      <c r="B1486" s="289"/>
      <c r="C1486" s="92"/>
      <c r="D1486" s="92"/>
      <c r="E1486" s="266"/>
    </row>
    <row r="1487" spans="1:5" ht="15.75">
      <c r="A1487" s="123"/>
      <c r="B1487" s="289"/>
      <c r="C1487" s="92"/>
      <c r="D1487" s="92"/>
      <c r="E1487" s="266"/>
    </row>
    <row r="1488" spans="1:5" ht="15.75">
      <c r="A1488" s="123"/>
      <c r="B1488" s="289"/>
      <c r="C1488" s="92"/>
      <c r="D1488" s="92"/>
      <c r="E1488" s="266"/>
    </row>
    <row r="1489" spans="1:5" ht="15.75">
      <c r="A1489" s="123"/>
      <c r="B1489" s="289"/>
      <c r="C1489" s="92"/>
      <c r="D1489" s="92"/>
      <c r="E1489" s="266"/>
    </row>
    <row r="1490" spans="1:5" ht="15.75">
      <c r="A1490" s="123"/>
      <c r="B1490" s="289"/>
      <c r="C1490" s="92"/>
      <c r="D1490" s="92"/>
      <c r="E1490" s="266"/>
    </row>
    <row r="1491" spans="1:5" ht="15.75">
      <c r="A1491" s="123"/>
      <c r="B1491" s="289"/>
      <c r="C1491" s="92"/>
      <c r="D1491" s="92"/>
      <c r="E1491" s="266"/>
    </row>
    <row r="1492" spans="1:5" ht="15.75">
      <c r="A1492" s="123"/>
      <c r="B1492" s="289"/>
      <c r="C1492" s="92"/>
      <c r="D1492" s="92"/>
      <c r="E1492" s="266"/>
    </row>
    <row r="1493" spans="1:5" ht="15.75">
      <c r="A1493" s="123"/>
      <c r="B1493" s="289"/>
      <c r="C1493" s="92"/>
      <c r="D1493" s="92"/>
      <c r="E1493" s="266"/>
    </row>
    <row r="1494" spans="1:5" ht="15.75">
      <c r="A1494" s="123"/>
      <c r="B1494" s="289"/>
      <c r="C1494" s="92"/>
      <c r="D1494" s="92"/>
      <c r="E1494" s="266"/>
    </row>
    <row r="1495" spans="1:5" ht="15.75">
      <c r="A1495" s="123"/>
      <c r="B1495" s="289"/>
      <c r="C1495" s="92"/>
      <c r="D1495" s="92"/>
      <c r="E1495" s="266"/>
    </row>
    <row r="1496" spans="1:5" ht="15.75">
      <c r="A1496" s="123"/>
      <c r="B1496" s="289"/>
      <c r="C1496" s="92"/>
      <c r="D1496" s="92"/>
      <c r="E1496" s="266"/>
    </row>
    <row r="1497" spans="1:5" ht="15.75">
      <c r="A1497" s="123"/>
      <c r="B1497" s="289"/>
      <c r="C1497" s="92"/>
      <c r="D1497" s="92"/>
      <c r="E1497" s="266"/>
    </row>
    <row r="1498" spans="1:5" ht="15.75">
      <c r="A1498" s="123"/>
      <c r="B1498" s="289"/>
      <c r="C1498" s="92"/>
      <c r="D1498" s="92"/>
      <c r="E1498" s="266"/>
    </row>
    <row r="1499" spans="1:5" ht="15.75">
      <c r="A1499" s="123"/>
      <c r="B1499" s="289"/>
      <c r="C1499" s="92"/>
      <c r="D1499" s="92"/>
      <c r="E1499" s="266"/>
    </row>
    <row r="1500" spans="1:5" ht="15.75">
      <c r="A1500" s="123"/>
      <c r="B1500" s="289"/>
      <c r="C1500" s="92"/>
      <c r="D1500" s="92"/>
      <c r="E1500" s="266"/>
    </row>
    <row r="1501" spans="1:5" ht="15.75">
      <c r="A1501" s="123"/>
      <c r="B1501" s="289"/>
      <c r="C1501" s="92"/>
      <c r="D1501" s="92"/>
      <c r="E1501" s="266"/>
    </row>
    <row r="1502" spans="1:5" ht="15.75">
      <c r="A1502" s="123"/>
      <c r="B1502" s="289"/>
      <c r="C1502" s="92"/>
      <c r="D1502" s="92"/>
      <c r="E1502" s="266"/>
    </row>
    <row r="1503" spans="1:5" ht="15.75">
      <c r="A1503" s="123"/>
      <c r="B1503" s="289"/>
      <c r="C1503" s="92"/>
      <c r="D1503" s="92"/>
      <c r="E1503" s="266"/>
    </row>
    <row r="1504" spans="1:5" ht="15.75">
      <c r="A1504" s="123"/>
      <c r="B1504" s="289"/>
      <c r="C1504" s="92"/>
      <c r="D1504" s="92"/>
      <c r="E1504" s="266"/>
    </row>
    <row r="1505" spans="1:5" ht="15.75">
      <c r="A1505" s="123"/>
      <c r="B1505" s="289"/>
      <c r="C1505" s="92"/>
      <c r="D1505" s="92"/>
      <c r="E1505" s="266"/>
    </row>
    <row r="1506" spans="1:5" ht="15.75">
      <c r="A1506" s="123"/>
      <c r="B1506" s="289"/>
      <c r="C1506" s="92"/>
      <c r="D1506" s="92"/>
      <c r="E1506" s="266"/>
    </row>
    <row r="1507" spans="1:5" ht="15.75">
      <c r="A1507" s="123"/>
      <c r="B1507" s="289"/>
      <c r="C1507" s="92"/>
      <c r="D1507" s="92"/>
      <c r="E1507" s="266"/>
    </row>
    <row r="1508" spans="1:5" ht="15.75">
      <c r="A1508" s="123"/>
      <c r="B1508" s="289"/>
      <c r="C1508" s="92"/>
      <c r="D1508" s="92"/>
      <c r="E1508" s="266"/>
    </row>
    <row r="1509" spans="1:5" ht="15.75">
      <c r="A1509" s="123"/>
      <c r="B1509" s="289"/>
      <c r="C1509" s="92"/>
      <c r="D1509" s="92"/>
      <c r="E1509" s="266"/>
    </row>
    <row r="1510" spans="1:5" ht="15.75">
      <c r="A1510" s="123"/>
      <c r="B1510" s="289"/>
      <c r="C1510" s="92"/>
      <c r="D1510" s="92"/>
      <c r="E1510" s="266"/>
    </row>
    <row r="1511" spans="1:5" ht="15.75">
      <c r="A1511" s="123"/>
      <c r="B1511" s="289"/>
      <c r="C1511" s="92"/>
      <c r="D1511" s="92"/>
      <c r="E1511" s="266"/>
    </row>
    <row r="1512" spans="1:5" ht="15.75">
      <c r="A1512" s="123"/>
      <c r="B1512" s="289"/>
      <c r="C1512" s="92"/>
      <c r="D1512" s="92"/>
      <c r="E1512" s="266"/>
    </row>
    <row r="1513" spans="1:5" ht="15.75">
      <c r="A1513" s="123"/>
      <c r="B1513" s="289"/>
      <c r="C1513" s="92"/>
      <c r="D1513" s="92"/>
      <c r="E1513" s="266"/>
    </row>
    <row r="1514" spans="1:5" ht="15.75">
      <c r="A1514" s="123"/>
      <c r="B1514" s="289"/>
      <c r="C1514" s="92"/>
      <c r="D1514" s="92"/>
      <c r="E1514" s="266"/>
    </row>
    <row r="1515" spans="1:5" ht="15.75">
      <c r="A1515" s="123"/>
      <c r="B1515" s="289"/>
      <c r="C1515" s="92"/>
      <c r="D1515" s="92"/>
      <c r="E1515" s="266"/>
    </row>
    <row r="1516" spans="1:5" ht="15.75">
      <c r="A1516" s="123"/>
      <c r="B1516" s="289"/>
      <c r="C1516" s="92"/>
      <c r="D1516" s="92"/>
      <c r="E1516" s="266"/>
    </row>
    <row r="1517" spans="1:5" ht="15.75">
      <c r="A1517" s="123"/>
      <c r="B1517" s="289"/>
      <c r="C1517" s="92"/>
      <c r="D1517" s="92"/>
      <c r="E1517" s="266"/>
    </row>
    <row r="1518" spans="1:5" ht="15.75">
      <c r="A1518" s="123"/>
      <c r="B1518" s="289"/>
      <c r="C1518" s="92"/>
      <c r="D1518" s="92"/>
      <c r="E1518" s="266"/>
    </row>
    <row r="1519" spans="1:5" ht="15.75">
      <c r="A1519" s="123"/>
      <c r="B1519" s="289"/>
      <c r="C1519" s="92"/>
      <c r="D1519" s="92"/>
      <c r="E1519" s="266"/>
    </row>
    <row r="1520" spans="1:5" ht="15.75">
      <c r="A1520" s="123"/>
      <c r="B1520" s="289"/>
      <c r="C1520" s="92"/>
      <c r="D1520" s="92"/>
      <c r="E1520" s="266"/>
    </row>
    <row r="1521" spans="1:5" ht="15.75">
      <c r="A1521" s="123"/>
      <c r="B1521" s="289"/>
      <c r="C1521" s="92"/>
      <c r="D1521" s="92"/>
      <c r="E1521" s="266"/>
    </row>
    <row r="1522" spans="1:5" ht="15.75">
      <c r="A1522" s="123"/>
      <c r="B1522" s="289"/>
      <c r="C1522" s="92"/>
      <c r="D1522" s="92"/>
      <c r="E1522" s="266"/>
    </row>
    <row r="1523" spans="1:5" ht="15.75">
      <c r="A1523" s="123"/>
      <c r="B1523" s="289"/>
      <c r="C1523" s="92"/>
      <c r="D1523" s="92"/>
      <c r="E1523" s="266"/>
    </row>
    <row r="1524" spans="1:5" ht="15.75">
      <c r="A1524" s="123"/>
      <c r="B1524" s="289"/>
      <c r="C1524" s="92"/>
      <c r="D1524" s="92"/>
      <c r="E1524" s="266"/>
    </row>
    <row r="1525" spans="1:5" ht="15.75">
      <c r="A1525" s="123"/>
      <c r="B1525" s="289"/>
      <c r="C1525" s="92"/>
      <c r="D1525" s="92"/>
      <c r="E1525" s="266"/>
    </row>
    <row r="1526" spans="1:5" ht="15.75">
      <c r="A1526" s="123"/>
      <c r="B1526" s="289"/>
      <c r="C1526" s="92"/>
      <c r="D1526" s="92"/>
      <c r="E1526" s="266"/>
    </row>
    <row r="1527" spans="1:5" ht="15.75">
      <c r="A1527" s="123"/>
      <c r="B1527" s="289"/>
      <c r="C1527" s="92"/>
      <c r="D1527" s="92"/>
      <c r="E1527" s="266"/>
    </row>
    <row r="1528" spans="1:5" ht="15.75">
      <c r="A1528" s="123"/>
      <c r="B1528" s="289"/>
      <c r="C1528" s="92"/>
      <c r="D1528" s="92"/>
      <c r="E1528" s="266"/>
    </row>
    <row r="1529" spans="1:5" ht="15.75">
      <c r="A1529" s="123"/>
      <c r="B1529" s="289"/>
      <c r="C1529" s="92"/>
      <c r="D1529" s="92"/>
      <c r="E1529" s="266"/>
    </row>
    <row r="1530" spans="1:5" ht="15.75">
      <c r="A1530" s="123"/>
      <c r="B1530" s="289"/>
      <c r="C1530" s="92"/>
      <c r="D1530" s="92"/>
      <c r="E1530" s="266"/>
    </row>
    <row r="1531" spans="1:5" ht="15.75">
      <c r="A1531" s="123"/>
      <c r="B1531" s="289"/>
      <c r="C1531" s="92"/>
      <c r="D1531" s="92"/>
      <c r="E1531" s="266"/>
    </row>
    <row r="1532" spans="1:5" ht="15.75">
      <c r="A1532" s="123"/>
      <c r="B1532" s="289"/>
      <c r="C1532" s="92"/>
      <c r="D1532" s="92"/>
      <c r="E1532" s="266"/>
    </row>
    <row r="1533" spans="1:5" ht="15.75">
      <c r="A1533" s="123"/>
      <c r="B1533" s="289"/>
      <c r="C1533" s="92"/>
      <c r="D1533" s="92"/>
      <c r="E1533" s="266"/>
    </row>
    <row r="1534" spans="1:5" ht="15.75">
      <c r="A1534" s="123"/>
      <c r="B1534" s="289"/>
      <c r="C1534" s="92"/>
      <c r="D1534" s="92"/>
      <c r="E1534" s="266"/>
    </row>
    <row r="1535" spans="1:5" ht="15.75">
      <c r="A1535" s="123"/>
      <c r="B1535" s="289"/>
      <c r="C1535" s="92"/>
      <c r="D1535" s="92"/>
      <c r="E1535" s="266"/>
    </row>
    <row r="1536" spans="1:5" ht="15.75">
      <c r="A1536" s="123"/>
      <c r="B1536" s="289"/>
      <c r="C1536" s="92"/>
      <c r="D1536" s="92"/>
      <c r="E1536" s="266"/>
    </row>
    <row r="1537" spans="1:5" ht="15.75">
      <c r="A1537" s="123"/>
      <c r="B1537" s="289"/>
      <c r="C1537" s="92"/>
      <c r="D1537" s="92"/>
      <c r="E1537" s="266"/>
    </row>
    <row r="1538" spans="1:5" ht="15.75">
      <c r="A1538" s="123"/>
      <c r="B1538" s="289"/>
      <c r="C1538" s="92"/>
      <c r="D1538" s="92"/>
      <c r="E1538" s="266"/>
    </row>
    <row r="1539" spans="1:5" ht="15.75">
      <c r="A1539" s="123"/>
      <c r="B1539" s="289"/>
      <c r="C1539" s="92"/>
      <c r="D1539" s="92"/>
      <c r="E1539" s="266"/>
    </row>
    <row r="1540" spans="1:5" ht="15.75">
      <c r="A1540" s="123"/>
      <c r="B1540" s="289"/>
      <c r="C1540" s="92"/>
      <c r="D1540" s="92"/>
      <c r="E1540" s="266"/>
    </row>
    <row r="1541" spans="1:5" ht="15.75">
      <c r="A1541" s="123"/>
      <c r="B1541" s="289"/>
      <c r="C1541" s="92"/>
      <c r="D1541" s="92"/>
      <c r="E1541" s="266"/>
    </row>
    <row r="1542" spans="1:5" ht="15.75">
      <c r="A1542" s="123"/>
      <c r="B1542" s="289"/>
      <c r="C1542" s="92"/>
      <c r="D1542" s="92"/>
      <c r="E1542" s="266"/>
    </row>
    <row r="1543" spans="1:5" ht="15.75">
      <c r="A1543" s="123"/>
      <c r="B1543" s="289"/>
      <c r="C1543" s="92"/>
      <c r="D1543" s="92"/>
      <c r="E1543" s="266"/>
    </row>
    <row r="1544" spans="1:5" ht="15.75">
      <c r="A1544" s="123"/>
      <c r="B1544" s="289"/>
      <c r="C1544" s="92"/>
      <c r="D1544" s="92"/>
      <c r="E1544" s="266"/>
    </row>
    <row r="1545" spans="1:5" ht="15.75">
      <c r="A1545" s="123"/>
      <c r="B1545" s="289"/>
      <c r="C1545" s="92"/>
      <c r="D1545" s="92"/>
      <c r="E1545" s="266"/>
    </row>
    <row r="1546" spans="1:5" ht="15.75">
      <c r="A1546" s="123"/>
      <c r="B1546" s="289"/>
      <c r="C1546" s="92"/>
      <c r="D1546" s="92"/>
      <c r="E1546" s="266"/>
    </row>
    <row r="1547" spans="1:5" ht="15.75">
      <c r="A1547" s="123"/>
      <c r="B1547" s="289"/>
      <c r="C1547" s="92"/>
      <c r="D1547" s="92"/>
      <c r="E1547" s="266"/>
    </row>
    <row r="1548" spans="1:5" ht="15.75">
      <c r="A1548" s="123"/>
      <c r="B1548" s="289"/>
      <c r="C1548" s="92"/>
      <c r="D1548" s="92"/>
      <c r="E1548" s="266"/>
    </row>
    <row r="1549" spans="1:5" ht="15.75">
      <c r="A1549" s="123"/>
      <c r="B1549" s="289"/>
      <c r="C1549" s="92"/>
      <c r="D1549" s="92"/>
      <c r="E1549" s="266"/>
    </row>
    <row r="1550" spans="1:5" ht="15.75">
      <c r="A1550" s="123"/>
      <c r="B1550" s="289"/>
      <c r="C1550" s="92"/>
      <c r="D1550" s="92"/>
      <c r="E1550" s="266"/>
    </row>
    <row r="1551" spans="1:5" ht="15.75">
      <c r="A1551" s="123"/>
      <c r="B1551" s="289"/>
      <c r="C1551" s="92"/>
      <c r="D1551" s="92"/>
      <c r="E1551" s="266"/>
    </row>
    <row r="1552" spans="1:5" ht="15.75">
      <c r="A1552" s="123"/>
      <c r="B1552" s="289"/>
      <c r="C1552" s="92"/>
      <c r="D1552" s="92"/>
      <c r="E1552" s="266"/>
    </row>
    <row r="1553" spans="1:5" ht="15.75">
      <c r="A1553" s="123"/>
      <c r="B1553" s="289"/>
      <c r="C1553" s="92"/>
      <c r="D1553" s="92"/>
      <c r="E1553" s="266"/>
    </row>
    <row r="1554" spans="1:5" ht="15.75">
      <c r="A1554" s="123"/>
      <c r="B1554" s="289"/>
      <c r="C1554" s="92"/>
      <c r="D1554" s="92"/>
      <c r="E1554" s="266"/>
    </row>
    <row r="1555" spans="1:5" ht="15.75">
      <c r="A1555" s="123"/>
      <c r="B1555" s="289"/>
      <c r="C1555" s="92"/>
      <c r="D1555" s="92"/>
      <c r="E1555" s="266"/>
    </row>
    <row r="1556" spans="1:5" ht="15.75">
      <c r="A1556" s="123"/>
      <c r="B1556" s="289"/>
      <c r="C1556" s="92"/>
      <c r="D1556" s="92"/>
      <c r="E1556" s="266"/>
    </row>
    <row r="1557" spans="1:5" ht="15.75">
      <c r="A1557" s="123"/>
      <c r="B1557" s="289"/>
      <c r="C1557" s="92"/>
      <c r="D1557" s="92"/>
      <c r="E1557" s="266"/>
    </row>
    <row r="1558" spans="1:5" ht="15.75">
      <c r="A1558" s="123"/>
      <c r="B1558" s="289"/>
      <c r="C1558" s="92"/>
      <c r="D1558" s="92"/>
      <c r="E1558" s="266"/>
    </row>
    <row r="1559" spans="1:5" ht="15.75">
      <c r="A1559" s="123"/>
      <c r="B1559" s="289"/>
      <c r="C1559" s="92"/>
      <c r="D1559" s="92"/>
      <c r="E1559" s="266"/>
    </row>
    <row r="1560" spans="1:5" ht="15.75">
      <c r="A1560" s="123"/>
      <c r="B1560" s="289"/>
      <c r="C1560" s="92"/>
      <c r="D1560" s="92"/>
      <c r="E1560" s="266"/>
    </row>
    <row r="1561" spans="1:5" ht="15.75">
      <c r="A1561" s="123"/>
      <c r="B1561" s="289"/>
      <c r="C1561" s="92"/>
      <c r="D1561" s="92"/>
      <c r="E1561" s="266"/>
    </row>
    <row r="1562" spans="1:5" ht="15.75">
      <c r="A1562" s="123"/>
      <c r="B1562" s="289"/>
      <c r="C1562" s="92"/>
      <c r="D1562" s="92"/>
      <c r="E1562" s="266"/>
    </row>
    <row r="1563" spans="1:5" ht="15.75">
      <c r="A1563" s="123"/>
      <c r="B1563" s="289"/>
      <c r="C1563" s="92"/>
      <c r="D1563" s="92"/>
      <c r="E1563" s="266"/>
    </row>
    <row r="1564" spans="1:5" ht="15.75">
      <c r="A1564" s="123"/>
      <c r="B1564" s="289"/>
      <c r="C1564" s="92"/>
      <c r="D1564" s="92"/>
      <c r="E1564" s="266"/>
    </row>
    <row r="1565" spans="1:5" ht="15.75">
      <c r="A1565" s="123"/>
      <c r="B1565" s="289"/>
      <c r="C1565" s="92"/>
      <c r="D1565" s="92"/>
      <c r="E1565" s="266"/>
    </row>
    <row r="1566" spans="1:5" ht="15.75">
      <c r="A1566" s="123"/>
      <c r="B1566" s="289"/>
      <c r="C1566" s="92"/>
      <c r="D1566" s="92"/>
      <c r="E1566" s="266"/>
    </row>
    <row r="1567" spans="1:5" ht="15.75">
      <c r="A1567" s="123"/>
      <c r="B1567" s="289"/>
      <c r="C1567" s="92"/>
      <c r="D1567" s="92"/>
      <c r="E1567" s="266"/>
    </row>
    <row r="1568" spans="1:5" ht="15.75">
      <c r="A1568" s="123"/>
      <c r="B1568" s="289"/>
      <c r="C1568" s="92"/>
      <c r="D1568" s="92"/>
      <c r="E1568" s="266"/>
    </row>
    <row r="1569" spans="1:5" ht="15.75">
      <c r="A1569" s="123"/>
      <c r="B1569" s="289"/>
      <c r="C1569" s="92"/>
      <c r="D1569" s="92"/>
      <c r="E1569" s="266"/>
    </row>
    <row r="1570" spans="1:5" ht="15.75">
      <c r="A1570" s="123"/>
      <c r="B1570" s="289"/>
      <c r="C1570" s="92"/>
      <c r="D1570" s="92"/>
      <c r="E1570" s="266"/>
    </row>
    <row r="1571" spans="1:5" ht="15.75">
      <c r="A1571" s="123"/>
      <c r="B1571" s="289"/>
      <c r="C1571" s="92"/>
      <c r="D1571" s="92"/>
      <c r="E1571" s="266"/>
    </row>
    <row r="1572" spans="1:5" ht="15.75">
      <c r="A1572" s="123"/>
      <c r="B1572" s="289"/>
      <c r="C1572" s="92"/>
      <c r="D1572" s="92"/>
      <c r="E1572" s="266"/>
    </row>
    <row r="1573" spans="1:5" ht="15.75">
      <c r="A1573" s="123"/>
      <c r="B1573" s="289"/>
      <c r="C1573" s="92"/>
      <c r="D1573" s="92"/>
      <c r="E1573" s="266"/>
    </row>
    <row r="1574" spans="1:5" ht="15.75">
      <c r="A1574" s="123"/>
      <c r="B1574" s="289"/>
      <c r="C1574" s="92"/>
      <c r="D1574" s="92"/>
      <c r="E1574" s="266"/>
    </row>
    <row r="1575" spans="1:5" ht="15.75">
      <c r="A1575" s="123"/>
      <c r="B1575" s="289"/>
      <c r="C1575" s="92"/>
      <c r="D1575" s="92"/>
      <c r="E1575" s="266"/>
    </row>
    <row r="1576" spans="1:5" ht="15.75">
      <c r="A1576" s="123"/>
      <c r="B1576" s="289"/>
      <c r="C1576" s="92"/>
      <c r="D1576" s="92"/>
      <c r="E1576" s="266"/>
    </row>
    <row r="1577" spans="1:5" ht="15.75">
      <c r="A1577" s="123"/>
      <c r="B1577" s="289"/>
      <c r="C1577" s="92"/>
      <c r="D1577" s="92"/>
      <c r="E1577" s="266"/>
    </row>
    <row r="1578" spans="1:5" ht="15.75">
      <c r="A1578" s="123"/>
      <c r="B1578" s="289"/>
      <c r="C1578" s="92"/>
      <c r="D1578" s="92"/>
      <c r="E1578" s="266"/>
    </row>
    <row r="1579" spans="1:5" ht="15.75">
      <c r="A1579" s="123"/>
      <c r="B1579" s="289"/>
      <c r="C1579" s="92"/>
      <c r="D1579" s="92"/>
      <c r="E1579" s="266"/>
    </row>
    <row r="1580" spans="1:5" ht="15.75">
      <c r="A1580" s="123"/>
      <c r="B1580" s="289"/>
      <c r="C1580" s="92"/>
      <c r="D1580" s="92"/>
      <c r="E1580" s="266"/>
    </row>
    <row r="1581" spans="1:5" ht="15.75">
      <c r="A1581" s="123"/>
      <c r="B1581" s="289"/>
      <c r="C1581" s="92"/>
      <c r="D1581" s="92"/>
      <c r="E1581" s="266"/>
    </row>
    <row r="1582" spans="1:5" ht="15.75">
      <c r="A1582" s="123"/>
      <c r="B1582" s="289"/>
      <c r="C1582" s="92"/>
      <c r="D1582" s="92"/>
      <c r="E1582" s="266"/>
    </row>
    <row r="1583" spans="1:5" ht="15.75">
      <c r="A1583" s="123"/>
      <c r="B1583" s="289"/>
      <c r="C1583" s="92"/>
      <c r="D1583" s="92"/>
      <c r="E1583" s="266"/>
    </row>
    <row r="1584" spans="1:5" ht="15.75">
      <c r="A1584" s="123"/>
      <c r="B1584" s="289"/>
      <c r="C1584" s="92"/>
      <c r="D1584" s="92"/>
      <c r="E1584" s="266"/>
    </row>
    <row r="1585" spans="1:5" ht="15.75">
      <c r="A1585" s="123"/>
      <c r="B1585" s="289"/>
      <c r="C1585" s="92"/>
      <c r="D1585" s="92"/>
      <c r="E1585" s="266"/>
    </row>
    <row r="1586" spans="1:5" ht="15.75">
      <c r="A1586" s="123"/>
      <c r="B1586" s="289"/>
      <c r="C1586" s="92"/>
      <c r="D1586" s="92"/>
      <c r="E1586" s="266"/>
    </row>
    <row r="1587" spans="1:5" ht="15.75">
      <c r="A1587" s="123"/>
      <c r="B1587" s="289"/>
      <c r="C1587" s="92"/>
      <c r="D1587" s="92"/>
      <c r="E1587" s="266"/>
    </row>
    <row r="1588" spans="1:5" ht="15.75">
      <c r="A1588" s="123"/>
      <c r="B1588" s="289"/>
      <c r="C1588" s="92"/>
      <c r="D1588" s="92"/>
      <c r="E1588" s="266"/>
    </row>
    <row r="1589" spans="1:5" ht="15.75">
      <c r="A1589" s="123"/>
      <c r="B1589" s="289"/>
      <c r="C1589" s="92"/>
      <c r="D1589" s="92"/>
      <c r="E1589" s="266"/>
    </row>
    <row r="1590" spans="1:5" ht="15.75">
      <c r="A1590" s="123"/>
      <c r="B1590" s="289"/>
      <c r="C1590" s="92"/>
      <c r="D1590" s="92"/>
      <c r="E1590" s="266"/>
    </row>
    <row r="1591" spans="1:5" ht="15.75">
      <c r="A1591" s="123"/>
      <c r="B1591" s="289"/>
      <c r="C1591" s="92"/>
      <c r="D1591" s="92"/>
      <c r="E1591" s="266"/>
    </row>
    <row r="1592" spans="1:5" ht="15.75">
      <c r="A1592" s="123"/>
      <c r="B1592" s="289"/>
      <c r="C1592" s="92"/>
      <c r="D1592" s="92"/>
      <c r="E1592" s="266"/>
    </row>
    <row r="1593" spans="1:5" ht="15.75">
      <c r="A1593" s="123"/>
      <c r="B1593" s="289"/>
      <c r="C1593" s="92"/>
      <c r="D1593" s="92"/>
      <c r="E1593" s="266"/>
    </row>
    <row r="1594" spans="1:5" ht="15.75">
      <c r="A1594" s="123"/>
      <c r="B1594" s="289"/>
      <c r="C1594" s="92"/>
      <c r="D1594" s="92"/>
      <c r="E1594" s="266"/>
    </row>
    <row r="1595" spans="1:5" ht="15.75">
      <c r="A1595" s="123"/>
      <c r="B1595" s="289"/>
      <c r="C1595" s="92"/>
      <c r="D1595" s="92"/>
      <c r="E1595" s="266"/>
    </row>
    <row r="1596" spans="1:5" ht="15.75">
      <c r="A1596" s="123"/>
      <c r="B1596" s="289"/>
      <c r="C1596" s="92"/>
      <c r="D1596" s="92"/>
      <c r="E1596" s="266"/>
    </row>
    <row r="1597" spans="1:5" ht="15.75">
      <c r="A1597" s="123"/>
      <c r="B1597" s="289"/>
      <c r="C1597" s="92"/>
      <c r="D1597" s="92"/>
      <c r="E1597" s="266"/>
    </row>
    <row r="1598" spans="1:5" ht="15.75">
      <c r="A1598" s="123"/>
      <c r="B1598" s="289"/>
      <c r="C1598" s="92"/>
      <c r="D1598" s="92"/>
      <c r="E1598" s="266"/>
    </row>
    <row r="1599" spans="1:5" ht="15.75">
      <c r="A1599" s="123"/>
      <c r="B1599" s="289"/>
      <c r="C1599" s="92"/>
      <c r="D1599" s="92"/>
      <c r="E1599" s="266"/>
    </row>
    <row r="1600" spans="1:5" ht="15.75">
      <c r="A1600" s="123"/>
      <c r="B1600" s="289"/>
      <c r="C1600" s="92"/>
      <c r="D1600" s="92"/>
      <c r="E1600" s="266"/>
    </row>
    <row r="1601" spans="1:5" ht="15.75">
      <c r="A1601" s="123"/>
      <c r="B1601" s="289"/>
      <c r="C1601" s="92"/>
      <c r="D1601" s="92"/>
      <c r="E1601" s="266"/>
    </row>
    <row r="1602" spans="1:5" ht="15.75">
      <c r="A1602" s="123"/>
      <c r="B1602" s="289"/>
      <c r="C1602" s="92"/>
      <c r="D1602" s="92"/>
      <c r="E1602" s="266"/>
    </row>
    <row r="1603" spans="1:5" ht="15.75">
      <c r="A1603" s="123"/>
      <c r="B1603" s="289"/>
      <c r="C1603" s="92"/>
      <c r="D1603" s="92"/>
      <c r="E1603" s="266"/>
    </row>
    <row r="1604" spans="1:5" ht="15.75">
      <c r="A1604" s="123"/>
      <c r="B1604" s="289"/>
      <c r="C1604" s="92"/>
      <c r="D1604" s="92"/>
      <c r="E1604" s="266"/>
    </row>
    <row r="1605" spans="1:5" ht="15.75">
      <c r="A1605" s="123"/>
      <c r="B1605" s="289"/>
      <c r="C1605" s="92"/>
      <c r="D1605" s="92"/>
      <c r="E1605" s="266"/>
    </row>
    <row r="1606" spans="1:5" ht="15.75">
      <c r="A1606" s="123"/>
      <c r="B1606" s="289"/>
      <c r="C1606" s="92"/>
      <c r="D1606" s="92"/>
      <c r="E1606" s="266"/>
    </row>
    <row r="1607" spans="1:5" ht="15.75">
      <c r="A1607" s="123"/>
      <c r="B1607" s="289"/>
      <c r="C1607" s="92"/>
      <c r="D1607" s="92"/>
      <c r="E1607" s="266"/>
    </row>
    <row r="1608" spans="1:5" ht="15.75">
      <c r="A1608" s="123"/>
      <c r="B1608" s="289"/>
      <c r="C1608" s="92"/>
      <c r="D1608" s="92"/>
      <c r="E1608" s="266"/>
    </row>
    <row r="1609" spans="1:5" ht="15.75">
      <c r="A1609" s="123"/>
      <c r="B1609" s="289"/>
      <c r="C1609" s="92"/>
      <c r="D1609" s="92"/>
      <c r="E1609" s="266"/>
    </row>
    <row r="1610" spans="1:5" ht="15.75">
      <c r="A1610" s="123"/>
      <c r="B1610" s="289"/>
      <c r="C1610" s="92"/>
      <c r="D1610" s="92"/>
      <c r="E1610" s="266"/>
    </row>
    <row r="1611" spans="1:5" ht="15.75">
      <c r="A1611" s="123"/>
      <c r="B1611" s="289"/>
      <c r="C1611" s="92"/>
      <c r="D1611" s="92"/>
      <c r="E1611" s="266"/>
    </row>
    <row r="1612" spans="1:5" ht="15.75">
      <c r="A1612" s="123"/>
      <c r="B1612" s="289"/>
      <c r="C1612" s="92"/>
      <c r="D1612" s="92"/>
      <c r="E1612" s="266"/>
    </row>
    <row r="1613" spans="1:5" ht="15.75">
      <c r="A1613" s="123"/>
      <c r="B1613" s="289"/>
      <c r="C1613" s="92"/>
      <c r="D1613" s="92"/>
      <c r="E1613" s="266"/>
    </row>
    <row r="1614" spans="1:5" ht="15.75">
      <c r="A1614" s="123"/>
      <c r="B1614" s="289"/>
      <c r="C1614" s="92"/>
      <c r="D1614" s="92"/>
      <c r="E1614" s="266"/>
    </row>
    <row r="1615" spans="1:5" ht="15.75">
      <c r="A1615" s="123"/>
      <c r="B1615" s="289"/>
      <c r="C1615" s="92"/>
      <c r="D1615" s="92"/>
      <c r="E1615" s="266"/>
    </row>
    <row r="1616" spans="1:5" ht="15.75">
      <c r="A1616" s="123"/>
      <c r="B1616" s="289"/>
      <c r="C1616" s="92"/>
      <c r="D1616" s="92"/>
      <c r="E1616" s="266"/>
    </row>
    <row r="1617" spans="1:5" ht="15.75">
      <c r="A1617" s="123"/>
      <c r="B1617" s="289"/>
      <c r="C1617" s="92"/>
      <c r="D1617" s="92"/>
      <c r="E1617" s="266"/>
    </row>
    <row r="1618" spans="1:5" ht="15.75">
      <c r="A1618" s="123"/>
      <c r="B1618" s="289"/>
      <c r="C1618" s="92"/>
      <c r="D1618" s="92"/>
      <c r="E1618" s="266"/>
    </row>
    <row r="1619" spans="1:5" ht="15.75">
      <c r="A1619" s="123"/>
      <c r="B1619" s="289"/>
      <c r="C1619" s="92"/>
      <c r="D1619" s="92"/>
      <c r="E1619" s="266"/>
    </row>
    <row r="1620" spans="1:5" ht="15.75">
      <c r="A1620" s="123"/>
      <c r="B1620" s="289"/>
      <c r="C1620" s="92"/>
      <c r="D1620" s="92"/>
      <c r="E1620" s="266"/>
    </row>
    <row r="1621" spans="1:5" ht="15.75">
      <c r="A1621" s="123"/>
      <c r="B1621" s="289"/>
      <c r="C1621" s="92"/>
      <c r="D1621" s="92"/>
      <c r="E1621" s="266"/>
    </row>
    <row r="1622" spans="1:5" ht="15.75">
      <c r="A1622" s="123"/>
      <c r="B1622" s="289"/>
      <c r="C1622" s="92"/>
      <c r="D1622" s="92"/>
      <c r="E1622" s="266"/>
    </row>
    <row r="1623" spans="1:5" ht="15.75">
      <c r="A1623" s="123"/>
      <c r="B1623" s="289"/>
      <c r="C1623" s="92"/>
      <c r="D1623" s="92"/>
      <c r="E1623" s="266"/>
    </row>
    <row r="1624" spans="1:5" ht="15.75">
      <c r="A1624" s="123"/>
      <c r="B1624" s="289"/>
      <c r="C1624" s="92"/>
      <c r="D1624" s="92"/>
      <c r="E1624" s="266"/>
    </row>
    <row r="1625" spans="1:5" ht="15.75">
      <c r="A1625" s="123"/>
      <c r="B1625" s="289"/>
      <c r="C1625" s="92"/>
      <c r="D1625" s="92"/>
      <c r="E1625" s="266"/>
    </row>
    <row r="1626" spans="1:5" ht="15.75">
      <c r="A1626" s="123"/>
      <c r="B1626" s="289"/>
      <c r="C1626" s="92"/>
      <c r="D1626" s="92"/>
      <c r="E1626" s="266"/>
    </row>
    <row r="1627" spans="1:5" ht="15.75">
      <c r="A1627" s="123"/>
      <c r="B1627" s="289"/>
      <c r="C1627" s="92"/>
      <c r="D1627" s="92"/>
      <c r="E1627" s="266"/>
    </row>
    <row r="1628" spans="1:5" ht="15.75">
      <c r="A1628" s="123"/>
      <c r="B1628" s="289"/>
      <c r="C1628" s="92"/>
      <c r="D1628" s="92"/>
      <c r="E1628" s="266"/>
    </row>
    <row r="1629" spans="1:5" ht="15.75">
      <c r="A1629" s="123"/>
      <c r="B1629" s="289"/>
      <c r="C1629" s="92"/>
      <c r="D1629" s="92"/>
      <c r="E1629" s="266"/>
    </row>
    <row r="1630" spans="1:5" ht="15.75">
      <c r="A1630" s="123"/>
      <c r="B1630" s="289"/>
      <c r="C1630" s="92"/>
      <c r="D1630" s="92"/>
      <c r="E1630" s="266"/>
    </row>
    <row r="1631" spans="1:5" ht="15.75">
      <c r="A1631" s="123"/>
      <c r="B1631" s="289"/>
      <c r="C1631" s="92"/>
      <c r="D1631" s="92"/>
      <c r="E1631" s="266"/>
    </row>
    <row r="1632" spans="1:5" ht="15.75">
      <c r="A1632" s="123"/>
      <c r="B1632" s="289"/>
      <c r="C1632" s="92"/>
      <c r="D1632" s="92"/>
      <c r="E1632" s="266"/>
    </row>
    <row r="1633" spans="1:5" ht="15.75">
      <c r="A1633" s="123"/>
      <c r="B1633" s="289"/>
      <c r="C1633" s="92"/>
      <c r="D1633" s="92"/>
      <c r="E1633" s="266"/>
    </row>
    <row r="1634" spans="1:5" ht="15.75">
      <c r="A1634" s="123"/>
      <c r="B1634" s="289"/>
      <c r="C1634" s="92"/>
      <c r="D1634" s="92"/>
      <c r="E1634" s="266"/>
    </row>
    <row r="1635" spans="1:5" ht="15.75">
      <c r="A1635" s="123"/>
      <c r="B1635" s="289"/>
      <c r="C1635" s="92"/>
      <c r="D1635" s="92"/>
      <c r="E1635" s="266"/>
    </row>
    <row r="1636" spans="1:5" ht="15.75">
      <c r="A1636" s="123"/>
      <c r="B1636" s="289"/>
      <c r="C1636" s="92"/>
      <c r="D1636" s="92"/>
      <c r="E1636" s="266"/>
    </row>
    <row r="1637" spans="1:5" ht="15.75">
      <c r="A1637" s="123"/>
      <c r="B1637" s="289"/>
      <c r="C1637" s="92"/>
      <c r="D1637" s="92"/>
      <c r="E1637" s="266"/>
    </row>
    <row r="1638" spans="1:5" ht="15.75">
      <c r="A1638" s="123"/>
      <c r="B1638" s="289"/>
      <c r="C1638" s="92"/>
      <c r="D1638" s="92"/>
      <c r="E1638" s="266"/>
    </row>
    <row r="1639" spans="1:5" ht="15.75">
      <c r="A1639" s="123"/>
      <c r="B1639" s="289"/>
      <c r="C1639" s="92"/>
      <c r="D1639" s="92"/>
      <c r="E1639" s="266"/>
    </row>
    <row r="1640" spans="1:5" ht="15.75">
      <c r="A1640" s="123"/>
      <c r="B1640" s="289"/>
      <c r="C1640" s="92"/>
      <c r="D1640" s="92"/>
      <c r="E1640" s="266"/>
    </row>
    <row r="1641" spans="1:5" ht="15.75">
      <c r="A1641" s="123"/>
      <c r="B1641" s="289"/>
      <c r="C1641" s="92"/>
      <c r="D1641" s="92"/>
      <c r="E1641" s="266"/>
    </row>
    <row r="1642" spans="1:5" ht="15.75">
      <c r="A1642" s="123"/>
      <c r="B1642" s="289"/>
      <c r="C1642" s="92"/>
      <c r="D1642" s="92"/>
      <c r="E1642" s="266"/>
    </row>
    <row r="1643" spans="1:5" ht="15.75">
      <c r="A1643" s="123"/>
      <c r="B1643" s="289"/>
      <c r="C1643" s="92"/>
      <c r="D1643" s="92"/>
      <c r="E1643" s="266"/>
    </row>
    <row r="1644" spans="1:5" ht="15.75">
      <c r="A1644" s="123"/>
      <c r="B1644" s="289"/>
      <c r="C1644" s="92"/>
      <c r="D1644" s="92"/>
      <c r="E1644" s="266"/>
    </row>
    <row r="1645" spans="1:5" ht="15.75">
      <c r="A1645" s="123"/>
      <c r="B1645" s="289"/>
      <c r="C1645" s="92"/>
      <c r="D1645" s="92"/>
      <c r="E1645" s="266"/>
    </row>
    <row r="1646" spans="1:5" ht="15.75">
      <c r="A1646" s="123"/>
      <c r="B1646" s="289"/>
      <c r="C1646" s="92"/>
      <c r="D1646" s="92"/>
      <c r="E1646" s="266"/>
    </row>
    <row r="1647" spans="1:5" ht="15.75">
      <c r="A1647" s="123"/>
      <c r="B1647" s="289"/>
      <c r="C1647" s="92"/>
      <c r="D1647" s="92"/>
      <c r="E1647" s="266"/>
    </row>
    <row r="1648" spans="1:5" ht="15.75">
      <c r="A1648" s="123"/>
      <c r="B1648" s="289"/>
      <c r="C1648" s="92"/>
      <c r="D1648" s="92"/>
      <c r="E1648" s="266"/>
    </row>
    <row r="1649" spans="1:5" ht="15.75">
      <c r="A1649" s="123"/>
      <c r="B1649" s="289"/>
      <c r="C1649" s="92"/>
      <c r="D1649" s="92"/>
      <c r="E1649" s="266"/>
    </row>
    <row r="1650" spans="1:5" ht="15.75">
      <c r="A1650" s="123"/>
      <c r="B1650" s="289"/>
      <c r="C1650" s="92"/>
      <c r="D1650" s="92"/>
      <c r="E1650" s="266"/>
    </row>
    <row r="1651" spans="1:5" ht="15.75">
      <c r="A1651" s="123"/>
      <c r="B1651" s="289"/>
      <c r="C1651" s="92"/>
      <c r="D1651" s="92"/>
      <c r="E1651" s="266"/>
    </row>
    <row r="1652" spans="1:5" ht="15.75">
      <c r="A1652" s="123"/>
      <c r="B1652" s="289"/>
      <c r="C1652" s="92"/>
      <c r="D1652" s="92"/>
      <c r="E1652" s="266"/>
    </row>
    <row r="1653" spans="1:5" ht="15.75">
      <c r="A1653" s="123"/>
      <c r="B1653" s="289"/>
      <c r="C1653" s="92"/>
      <c r="D1653" s="92"/>
      <c r="E1653" s="266"/>
    </row>
    <row r="1654" spans="1:5" ht="15.75">
      <c r="A1654" s="123"/>
      <c r="B1654" s="289"/>
      <c r="C1654" s="92"/>
      <c r="D1654" s="92"/>
      <c r="E1654" s="266"/>
    </row>
    <row r="1655" spans="1:5" ht="15.75">
      <c r="A1655" s="123"/>
      <c r="B1655" s="289"/>
      <c r="C1655" s="92"/>
      <c r="D1655" s="92"/>
      <c r="E1655" s="266"/>
    </row>
    <row r="1656" spans="1:5" ht="15.75">
      <c r="A1656" s="123"/>
      <c r="B1656" s="289"/>
      <c r="C1656" s="92"/>
      <c r="D1656" s="92"/>
      <c r="E1656" s="266"/>
    </row>
    <row r="1657" spans="1:5" ht="15.75">
      <c r="A1657" s="123"/>
      <c r="B1657" s="289"/>
      <c r="C1657" s="92"/>
      <c r="D1657" s="92"/>
      <c r="E1657" s="266"/>
    </row>
    <row r="1658" spans="1:5" ht="15.75">
      <c r="A1658" s="123"/>
      <c r="B1658" s="289"/>
      <c r="C1658" s="92"/>
      <c r="D1658" s="92"/>
      <c r="E1658" s="266"/>
    </row>
    <row r="1659" spans="1:5" ht="15.75">
      <c r="A1659" s="123"/>
      <c r="B1659" s="289"/>
      <c r="C1659" s="92"/>
      <c r="D1659" s="92"/>
      <c r="E1659" s="266"/>
    </row>
    <row r="1660" spans="1:5" ht="15.75">
      <c r="A1660" s="123"/>
      <c r="B1660" s="289"/>
      <c r="C1660" s="92"/>
      <c r="D1660" s="92"/>
      <c r="E1660" s="266"/>
    </row>
    <row r="1661" spans="1:5" ht="15.75">
      <c r="A1661" s="123"/>
      <c r="B1661" s="289"/>
      <c r="C1661" s="92"/>
      <c r="D1661" s="92"/>
      <c r="E1661" s="266"/>
    </row>
    <row r="1662" spans="1:5" ht="15.75">
      <c r="A1662" s="123"/>
      <c r="B1662" s="289"/>
      <c r="C1662" s="92"/>
      <c r="D1662" s="92"/>
      <c r="E1662" s="266"/>
    </row>
    <row r="1663" spans="1:5" ht="15.75">
      <c r="A1663" s="123"/>
      <c r="B1663" s="289"/>
      <c r="C1663" s="92"/>
      <c r="D1663" s="92"/>
      <c r="E1663" s="266"/>
    </row>
    <row r="1664" spans="1:5" ht="15.75">
      <c r="A1664" s="123"/>
      <c r="B1664" s="289"/>
      <c r="C1664" s="92"/>
      <c r="D1664" s="92"/>
      <c r="E1664" s="266"/>
    </row>
    <row r="1665" spans="1:5" ht="15.75">
      <c r="A1665" s="123"/>
      <c r="B1665" s="289"/>
      <c r="C1665" s="92"/>
      <c r="D1665" s="92"/>
      <c r="E1665" s="266"/>
    </row>
    <row r="1666" spans="1:5" ht="15.75">
      <c r="A1666" s="123"/>
      <c r="B1666" s="289"/>
      <c r="C1666" s="92"/>
      <c r="D1666" s="92"/>
      <c r="E1666" s="266"/>
    </row>
    <row r="1667" spans="1:5" ht="15.75">
      <c r="A1667" s="123"/>
      <c r="B1667" s="289"/>
      <c r="C1667" s="92"/>
      <c r="D1667" s="92"/>
      <c r="E1667" s="266"/>
    </row>
    <row r="1668" spans="1:5" ht="15.75">
      <c r="A1668" s="123"/>
      <c r="B1668" s="289"/>
      <c r="C1668" s="92"/>
      <c r="D1668" s="92"/>
      <c r="E1668" s="266"/>
    </row>
    <row r="1669" spans="1:5" ht="15.75">
      <c r="A1669" s="123"/>
      <c r="B1669" s="289"/>
      <c r="C1669" s="92"/>
      <c r="D1669" s="92"/>
      <c r="E1669" s="266"/>
    </row>
    <row r="1670" spans="1:5" ht="15.75">
      <c r="A1670" s="123"/>
      <c r="B1670" s="289"/>
      <c r="C1670" s="92"/>
      <c r="D1670" s="92"/>
      <c r="E1670" s="266"/>
    </row>
    <row r="1671" spans="1:5" ht="15.75">
      <c r="A1671" s="123"/>
      <c r="B1671" s="289"/>
      <c r="C1671" s="92"/>
      <c r="D1671" s="92"/>
      <c r="E1671" s="266"/>
    </row>
    <row r="1672" spans="1:5" ht="15.75">
      <c r="A1672" s="123"/>
      <c r="B1672" s="289"/>
      <c r="C1672" s="92"/>
      <c r="D1672" s="92"/>
      <c r="E1672" s="266"/>
    </row>
    <row r="1673" spans="1:5" ht="15.75">
      <c r="A1673" s="123"/>
      <c r="B1673" s="289"/>
      <c r="C1673" s="92"/>
      <c r="D1673" s="92"/>
      <c r="E1673" s="266"/>
    </row>
    <row r="1674" spans="1:5" ht="15.75">
      <c r="A1674" s="123"/>
      <c r="B1674" s="289"/>
      <c r="C1674" s="92"/>
      <c r="D1674" s="92"/>
      <c r="E1674" s="266"/>
    </row>
    <row r="1675" spans="1:5" ht="15.75">
      <c r="A1675" s="123"/>
      <c r="B1675" s="289"/>
      <c r="C1675" s="92"/>
      <c r="D1675" s="92"/>
      <c r="E1675" s="266"/>
    </row>
    <row r="1676" spans="1:5" ht="15.75">
      <c r="A1676" s="123"/>
      <c r="B1676" s="289"/>
      <c r="C1676" s="92"/>
      <c r="D1676" s="92"/>
      <c r="E1676" s="266"/>
    </row>
    <row r="1677" spans="1:5" ht="15.75">
      <c r="A1677" s="123"/>
      <c r="B1677" s="289"/>
      <c r="C1677" s="92"/>
      <c r="D1677" s="92"/>
      <c r="E1677" s="266"/>
    </row>
    <row r="1678" spans="1:5" ht="15.75">
      <c r="A1678" s="123"/>
      <c r="B1678" s="289"/>
      <c r="C1678" s="92"/>
      <c r="D1678" s="92"/>
      <c r="E1678" s="266"/>
    </row>
    <row r="1679" spans="1:5" ht="15.75">
      <c r="A1679" s="123"/>
      <c r="B1679" s="289"/>
      <c r="C1679" s="92"/>
      <c r="D1679" s="92"/>
      <c r="E1679" s="266"/>
    </row>
    <row r="1680" spans="1:5" ht="15.75">
      <c r="A1680" s="123"/>
      <c r="B1680" s="289"/>
      <c r="C1680" s="92"/>
      <c r="D1680" s="92"/>
      <c r="E1680" s="266"/>
    </row>
    <row r="1681" spans="1:5" ht="15.75">
      <c r="A1681" s="123"/>
      <c r="B1681" s="289"/>
      <c r="C1681" s="92"/>
      <c r="D1681" s="92"/>
      <c r="E1681" s="266"/>
    </row>
    <row r="1682" spans="1:5" ht="15.75">
      <c r="A1682" s="123"/>
      <c r="B1682" s="289"/>
      <c r="C1682" s="92"/>
      <c r="D1682" s="92"/>
      <c r="E1682" s="266"/>
    </row>
    <row r="1683" spans="1:5" ht="15.75">
      <c r="A1683" s="123"/>
      <c r="B1683" s="289"/>
      <c r="C1683" s="92"/>
      <c r="D1683" s="92"/>
      <c r="E1683" s="266"/>
    </row>
    <row r="1684" spans="1:5" ht="15.75">
      <c r="A1684" s="123"/>
      <c r="B1684" s="289"/>
      <c r="C1684" s="92"/>
      <c r="D1684" s="92"/>
      <c r="E1684" s="266"/>
    </row>
    <row r="1685" spans="1:5" ht="15.75">
      <c r="A1685" s="123"/>
      <c r="B1685" s="289"/>
      <c r="C1685" s="92"/>
      <c r="D1685" s="92"/>
      <c r="E1685" s="266"/>
    </row>
    <row r="1686" spans="1:5" ht="15.75">
      <c r="A1686" s="123"/>
      <c r="B1686" s="289"/>
      <c r="C1686" s="92"/>
      <c r="D1686" s="92"/>
      <c r="E1686" s="266"/>
    </row>
    <row r="1687" spans="1:5" ht="15.75">
      <c r="A1687" s="123"/>
      <c r="B1687" s="289"/>
      <c r="C1687" s="92"/>
      <c r="D1687" s="92"/>
      <c r="E1687" s="266"/>
    </row>
    <row r="1688" spans="1:5" ht="15.75">
      <c r="A1688" s="123"/>
      <c r="B1688" s="289"/>
      <c r="C1688" s="92"/>
      <c r="D1688" s="92"/>
      <c r="E1688" s="266"/>
    </row>
    <row r="1689" spans="1:5" ht="15.75">
      <c r="A1689" s="123"/>
      <c r="B1689" s="289"/>
      <c r="C1689" s="92"/>
      <c r="D1689" s="92"/>
      <c r="E1689" s="266"/>
    </row>
    <row r="1690" spans="1:5" ht="15.75">
      <c r="A1690" s="123"/>
      <c r="B1690" s="289"/>
      <c r="C1690" s="92"/>
      <c r="D1690" s="92"/>
      <c r="E1690" s="266"/>
    </row>
    <row r="1691" spans="1:5" ht="15.75">
      <c r="A1691" s="123"/>
      <c r="B1691" s="289"/>
      <c r="C1691" s="92"/>
      <c r="D1691" s="92"/>
      <c r="E1691" s="266"/>
    </row>
    <row r="1692" spans="1:5" ht="15.75">
      <c r="A1692" s="123"/>
      <c r="B1692" s="289"/>
      <c r="C1692" s="92"/>
      <c r="D1692" s="92"/>
      <c r="E1692" s="266"/>
    </row>
    <row r="1693" spans="1:5" ht="15.75">
      <c r="A1693" s="123"/>
      <c r="B1693" s="289"/>
      <c r="C1693" s="92"/>
      <c r="D1693" s="92"/>
      <c r="E1693" s="266"/>
    </row>
    <row r="1694" spans="1:5" ht="15.75">
      <c r="A1694" s="123"/>
      <c r="B1694" s="289"/>
      <c r="C1694" s="92"/>
      <c r="D1694" s="92"/>
      <c r="E1694" s="266"/>
    </row>
    <row r="1695" spans="1:5" ht="15.75">
      <c r="A1695" s="123"/>
      <c r="B1695" s="289"/>
      <c r="C1695" s="92"/>
      <c r="D1695" s="92"/>
      <c r="E1695" s="266"/>
    </row>
    <row r="1696" spans="1:5" ht="15.75">
      <c r="A1696" s="123"/>
      <c r="B1696" s="289"/>
      <c r="C1696" s="92"/>
      <c r="D1696" s="92"/>
      <c r="E1696" s="266"/>
    </row>
    <row r="1697" spans="1:5" ht="15.75">
      <c r="A1697" s="123"/>
      <c r="B1697" s="289"/>
      <c r="C1697" s="92"/>
      <c r="D1697" s="92"/>
      <c r="E1697" s="266"/>
    </row>
    <row r="1698" spans="1:5" ht="15.75">
      <c r="A1698" s="123"/>
      <c r="B1698" s="289"/>
      <c r="C1698" s="92"/>
      <c r="D1698" s="92"/>
      <c r="E1698" s="266"/>
    </row>
    <row r="1699" spans="1:5" ht="15.75">
      <c r="A1699" s="123"/>
      <c r="B1699" s="289"/>
      <c r="C1699" s="92"/>
      <c r="D1699" s="92"/>
      <c r="E1699" s="266"/>
    </row>
    <row r="1700" spans="1:5" ht="15.75">
      <c r="A1700" s="123"/>
      <c r="B1700" s="289"/>
      <c r="C1700" s="92"/>
      <c r="D1700" s="92"/>
      <c r="E1700" s="266"/>
    </row>
    <row r="1701" spans="1:5" ht="15.75">
      <c r="A1701" s="123"/>
      <c r="B1701" s="289"/>
      <c r="C1701" s="92"/>
      <c r="D1701" s="92"/>
      <c r="E1701" s="266"/>
    </row>
    <row r="1702" spans="1:5" ht="15.75">
      <c r="A1702" s="123"/>
      <c r="B1702" s="289"/>
      <c r="C1702" s="92"/>
      <c r="D1702" s="92"/>
      <c r="E1702" s="266"/>
    </row>
    <row r="1703" spans="1:5" ht="15.75">
      <c r="A1703" s="123"/>
      <c r="B1703" s="289"/>
      <c r="C1703" s="92"/>
      <c r="D1703" s="92"/>
      <c r="E1703" s="266"/>
    </row>
    <row r="1704" spans="1:5" ht="15.75">
      <c r="A1704" s="123"/>
      <c r="B1704" s="289"/>
      <c r="C1704" s="92"/>
      <c r="D1704" s="92"/>
      <c r="E1704" s="266"/>
    </row>
    <row r="1705" spans="1:5" ht="15.75">
      <c r="A1705" s="123"/>
      <c r="B1705" s="289"/>
      <c r="C1705" s="92"/>
      <c r="D1705" s="92"/>
      <c r="E1705" s="266"/>
    </row>
    <row r="1706" spans="1:5" ht="15.75">
      <c r="A1706" s="123"/>
      <c r="B1706" s="289"/>
      <c r="C1706" s="92"/>
      <c r="D1706" s="92"/>
      <c r="E1706" s="266"/>
    </row>
    <row r="1707" spans="1:5" ht="15.75">
      <c r="A1707" s="123"/>
      <c r="B1707" s="289"/>
      <c r="C1707" s="92"/>
      <c r="D1707" s="92"/>
      <c r="E1707" s="266"/>
    </row>
    <row r="1708" spans="1:5" ht="15.75">
      <c r="A1708" s="123"/>
      <c r="B1708" s="289"/>
      <c r="C1708" s="92"/>
      <c r="D1708" s="92"/>
      <c r="E1708" s="266"/>
    </row>
    <row r="1709" spans="1:5" ht="15.75">
      <c r="A1709" s="123"/>
      <c r="B1709" s="289"/>
      <c r="C1709" s="92"/>
      <c r="D1709" s="92"/>
      <c r="E1709" s="266"/>
    </row>
    <row r="1710" spans="1:5" ht="15.75">
      <c r="A1710" s="123"/>
      <c r="B1710" s="289"/>
      <c r="C1710" s="92"/>
      <c r="D1710" s="92"/>
      <c r="E1710" s="266"/>
    </row>
    <row r="1711" spans="1:5" ht="15.75">
      <c r="A1711" s="123"/>
      <c r="B1711" s="289"/>
      <c r="C1711" s="92"/>
      <c r="D1711" s="92"/>
      <c r="E1711" s="266"/>
    </row>
    <row r="1712" spans="1:5" ht="15.75">
      <c r="A1712" s="123"/>
      <c r="B1712" s="289"/>
      <c r="C1712" s="92"/>
      <c r="D1712" s="92"/>
      <c r="E1712" s="266"/>
    </row>
    <row r="1713" spans="1:5" ht="15.75">
      <c r="A1713" s="123"/>
      <c r="B1713" s="289"/>
      <c r="C1713" s="92"/>
      <c r="D1713" s="92"/>
      <c r="E1713" s="266"/>
    </row>
    <row r="1714" spans="1:5" ht="15.75">
      <c r="A1714" s="123"/>
      <c r="B1714" s="289"/>
      <c r="C1714" s="92"/>
      <c r="D1714" s="92"/>
      <c r="E1714" s="266"/>
    </row>
    <row r="1715" spans="1:5" ht="15.75">
      <c r="A1715" s="123"/>
      <c r="B1715" s="289"/>
      <c r="C1715" s="92"/>
      <c r="D1715" s="92"/>
      <c r="E1715" s="266"/>
    </row>
    <row r="1716" spans="1:5" ht="15.75">
      <c r="A1716" s="123"/>
      <c r="B1716" s="289"/>
      <c r="C1716" s="92"/>
      <c r="D1716" s="92"/>
      <c r="E1716" s="266"/>
    </row>
    <row r="1717" spans="1:5" ht="15.75">
      <c r="A1717" s="123"/>
      <c r="B1717" s="289"/>
      <c r="C1717" s="92"/>
      <c r="D1717" s="92"/>
      <c r="E1717" s="266"/>
    </row>
    <row r="1718" spans="1:5" ht="15.75">
      <c r="A1718" s="123"/>
      <c r="B1718" s="289"/>
      <c r="C1718" s="92"/>
      <c r="D1718" s="92"/>
      <c r="E1718" s="266"/>
    </row>
    <row r="1719" spans="1:5" ht="15.75">
      <c r="A1719" s="123"/>
      <c r="B1719" s="289"/>
      <c r="C1719" s="92"/>
      <c r="D1719" s="92"/>
      <c r="E1719" s="266"/>
    </row>
    <row r="1720" spans="1:5" ht="15.75">
      <c r="A1720" s="123"/>
      <c r="B1720" s="289"/>
      <c r="C1720" s="92"/>
      <c r="D1720" s="92"/>
      <c r="E1720" s="266"/>
    </row>
    <row r="1721" spans="1:5" ht="15.75">
      <c r="A1721" s="123"/>
      <c r="B1721" s="289"/>
      <c r="C1721" s="92"/>
      <c r="D1721" s="92"/>
      <c r="E1721" s="266"/>
    </row>
    <row r="1722" spans="1:5" ht="15.75">
      <c r="A1722" s="123"/>
      <c r="B1722" s="289"/>
      <c r="C1722" s="92"/>
      <c r="D1722" s="92"/>
      <c r="E1722" s="266"/>
    </row>
    <row r="1723" spans="1:5" ht="15.75">
      <c r="A1723" s="123"/>
      <c r="B1723" s="289"/>
      <c r="C1723" s="92"/>
      <c r="D1723" s="92"/>
      <c r="E1723" s="266"/>
    </row>
    <row r="1724" spans="1:5" ht="15.75">
      <c r="A1724" s="123"/>
      <c r="B1724" s="289"/>
      <c r="C1724" s="92"/>
      <c r="D1724" s="92"/>
      <c r="E1724" s="266"/>
    </row>
    <row r="1725" spans="1:5" ht="15.75">
      <c r="A1725" s="123"/>
      <c r="B1725" s="289"/>
      <c r="C1725" s="92"/>
      <c r="D1725" s="92"/>
      <c r="E1725" s="266"/>
    </row>
    <row r="1726" spans="1:5" ht="15.75">
      <c r="A1726" s="123"/>
      <c r="B1726" s="289"/>
      <c r="C1726" s="92"/>
      <c r="D1726" s="92"/>
      <c r="E1726" s="266"/>
    </row>
    <row r="1727" spans="1:5" ht="15.75">
      <c r="A1727" s="123"/>
      <c r="B1727" s="289"/>
      <c r="C1727" s="92"/>
      <c r="D1727" s="92"/>
      <c r="E1727" s="266"/>
    </row>
    <row r="1728" spans="1:5" ht="15.75">
      <c r="A1728" s="123"/>
      <c r="B1728" s="289"/>
      <c r="C1728" s="92"/>
      <c r="D1728" s="92"/>
      <c r="E1728" s="266"/>
    </row>
    <row r="1729" spans="1:5" ht="15.75">
      <c r="A1729" s="123"/>
      <c r="B1729" s="289"/>
      <c r="C1729" s="92"/>
      <c r="D1729" s="92"/>
      <c r="E1729" s="266"/>
    </row>
    <row r="1730" spans="1:5" ht="15.75">
      <c r="A1730" s="123"/>
      <c r="B1730" s="289"/>
      <c r="C1730" s="92"/>
      <c r="D1730" s="92"/>
      <c r="E1730" s="266"/>
    </row>
    <row r="1731" spans="1:5" ht="15.75">
      <c r="A1731" s="123"/>
      <c r="B1731" s="289"/>
      <c r="C1731" s="92"/>
      <c r="D1731" s="92"/>
      <c r="E1731" s="266"/>
    </row>
    <row r="1732" spans="1:5" ht="15.75">
      <c r="A1732" s="123"/>
      <c r="B1732" s="289"/>
      <c r="C1732" s="92"/>
      <c r="D1732" s="92"/>
      <c r="E1732" s="266"/>
    </row>
    <row r="1733" spans="1:5" ht="15.75">
      <c r="A1733" s="123"/>
      <c r="B1733" s="289"/>
      <c r="C1733" s="92"/>
      <c r="D1733" s="92"/>
      <c r="E1733" s="266"/>
    </row>
    <row r="1734" spans="1:5" ht="15.75">
      <c r="A1734" s="123"/>
      <c r="B1734" s="289"/>
      <c r="C1734" s="92"/>
      <c r="D1734" s="92"/>
      <c r="E1734" s="266"/>
    </row>
    <row r="1735" spans="1:5" ht="15.75">
      <c r="A1735" s="123"/>
      <c r="B1735" s="289"/>
      <c r="C1735" s="92"/>
      <c r="D1735" s="92"/>
      <c r="E1735" s="266"/>
    </row>
    <row r="1736" spans="1:5" ht="15.75">
      <c r="A1736" s="123"/>
      <c r="B1736" s="289"/>
      <c r="C1736" s="92"/>
      <c r="D1736" s="92"/>
      <c r="E1736" s="266"/>
    </row>
    <row r="1737" spans="1:5" ht="15.75">
      <c r="A1737" s="123"/>
      <c r="B1737" s="289"/>
      <c r="C1737" s="92"/>
      <c r="D1737" s="92"/>
      <c r="E1737" s="266"/>
    </row>
    <row r="1738" spans="1:5" ht="15.75">
      <c r="A1738" s="123"/>
      <c r="B1738" s="289"/>
      <c r="C1738" s="92"/>
      <c r="D1738" s="92"/>
      <c r="E1738" s="266"/>
    </row>
    <row r="1739" spans="1:5" ht="15.75">
      <c r="A1739" s="123"/>
      <c r="B1739" s="289"/>
      <c r="C1739" s="92"/>
      <c r="D1739" s="92"/>
      <c r="E1739" s="266"/>
    </row>
    <row r="1740" spans="1:5" ht="15.75">
      <c r="A1740" s="123"/>
      <c r="B1740" s="289"/>
      <c r="C1740" s="92"/>
      <c r="D1740" s="92"/>
      <c r="E1740" s="266"/>
    </row>
    <row r="1741" spans="1:5" ht="15.75">
      <c r="A1741" s="123"/>
      <c r="B1741" s="289"/>
      <c r="C1741" s="92"/>
      <c r="D1741" s="92"/>
      <c r="E1741" s="266"/>
    </row>
    <row r="1742" spans="1:5" ht="15.75">
      <c r="A1742" s="123"/>
      <c r="B1742" s="289"/>
      <c r="C1742" s="92"/>
      <c r="D1742" s="92"/>
      <c r="E1742" s="266"/>
    </row>
    <row r="1743" spans="1:5" ht="15.75">
      <c r="A1743" s="123"/>
      <c r="B1743" s="289"/>
      <c r="C1743" s="92"/>
      <c r="D1743" s="92"/>
      <c r="E1743" s="266"/>
    </row>
    <row r="1744" spans="1:5" ht="15.75">
      <c r="A1744" s="123"/>
      <c r="B1744" s="289"/>
      <c r="C1744" s="92"/>
      <c r="D1744" s="92"/>
      <c r="E1744" s="266"/>
    </row>
    <row r="1745" spans="1:5" ht="15.75">
      <c r="A1745" s="123"/>
      <c r="B1745" s="289"/>
      <c r="C1745" s="92"/>
      <c r="D1745" s="92"/>
      <c r="E1745" s="266"/>
    </row>
    <row r="1746" spans="1:5" ht="15.75">
      <c r="A1746" s="123"/>
      <c r="B1746" s="289"/>
      <c r="C1746" s="92"/>
      <c r="D1746" s="92"/>
      <c r="E1746" s="266"/>
    </row>
    <row r="1747" spans="1:5" ht="15.75">
      <c r="A1747" s="123"/>
      <c r="B1747" s="289"/>
      <c r="C1747" s="92"/>
      <c r="D1747" s="92"/>
      <c r="E1747" s="266"/>
    </row>
    <row r="1748" spans="1:5" ht="15.75">
      <c r="A1748" s="123"/>
      <c r="B1748" s="289"/>
      <c r="C1748" s="92"/>
      <c r="D1748" s="92"/>
      <c r="E1748" s="266"/>
    </row>
    <row r="1749" spans="1:5" ht="15.75">
      <c r="A1749" s="123"/>
      <c r="B1749" s="289"/>
      <c r="C1749" s="92"/>
      <c r="D1749" s="92"/>
      <c r="E1749" s="266"/>
    </row>
    <row r="1750" spans="1:5" ht="15.75">
      <c r="A1750" s="123"/>
      <c r="B1750" s="289"/>
      <c r="C1750" s="92"/>
      <c r="D1750" s="92"/>
      <c r="E1750" s="266"/>
    </row>
    <row r="1751" spans="1:5" ht="15.75">
      <c r="A1751" s="123"/>
      <c r="B1751" s="289"/>
      <c r="C1751" s="92"/>
      <c r="D1751" s="92"/>
      <c r="E1751" s="266"/>
    </row>
    <row r="1752" spans="1:5" ht="15.75">
      <c r="A1752" s="123"/>
      <c r="B1752" s="289"/>
      <c r="C1752" s="92"/>
      <c r="D1752" s="92"/>
      <c r="E1752" s="266"/>
    </row>
    <row r="1753" spans="1:5" ht="15.75">
      <c r="A1753" s="123"/>
      <c r="B1753" s="289"/>
      <c r="C1753" s="92"/>
      <c r="D1753" s="92"/>
      <c r="E1753" s="266"/>
    </row>
    <row r="1754" spans="1:5" ht="15.75">
      <c r="A1754" s="123"/>
      <c r="B1754" s="289"/>
      <c r="C1754" s="92"/>
      <c r="D1754" s="92"/>
      <c r="E1754" s="266"/>
    </row>
    <row r="1755" spans="1:5" ht="15.75">
      <c r="A1755" s="123"/>
      <c r="B1755" s="289"/>
      <c r="C1755" s="92"/>
      <c r="D1755" s="92"/>
      <c r="E1755" s="266"/>
    </row>
    <row r="1756" spans="1:5" ht="15.75">
      <c r="A1756" s="123"/>
      <c r="B1756" s="289"/>
      <c r="C1756" s="92"/>
      <c r="D1756" s="92"/>
      <c r="E1756" s="266"/>
    </row>
    <row r="1757" spans="1:5" ht="15.75">
      <c r="A1757" s="123"/>
      <c r="B1757" s="289"/>
      <c r="C1757" s="92"/>
      <c r="D1757" s="92"/>
      <c r="E1757" s="266"/>
    </row>
    <row r="1758" spans="1:5" ht="15.75">
      <c r="A1758" s="123"/>
      <c r="B1758" s="289"/>
      <c r="C1758" s="92"/>
      <c r="D1758" s="92"/>
      <c r="E1758" s="266"/>
    </row>
    <row r="1759" spans="1:5" ht="15.75">
      <c r="A1759" s="123"/>
      <c r="B1759" s="289"/>
      <c r="C1759" s="92"/>
      <c r="D1759" s="92"/>
      <c r="E1759" s="266"/>
    </row>
    <row r="1760" spans="1:5" ht="15.75">
      <c r="A1760" s="123"/>
      <c r="B1760" s="289"/>
      <c r="C1760" s="92"/>
      <c r="D1760" s="92"/>
      <c r="E1760" s="266"/>
    </row>
    <row r="1761" spans="1:5" ht="15.75">
      <c r="A1761" s="123"/>
      <c r="B1761" s="289"/>
      <c r="C1761" s="92"/>
      <c r="D1761" s="92"/>
      <c r="E1761" s="266"/>
    </row>
    <row r="1762" spans="1:5" ht="15.75">
      <c r="A1762" s="123"/>
      <c r="B1762" s="289"/>
      <c r="C1762" s="92"/>
      <c r="D1762" s="92"/>
      <c r="E1762" s="266"/>
    </row>
    <row r="1763" spans="1:5" ht="15.75">
      <c r="A1763" s="123"/>
      <c r="B1763" s="289"/>
      <c r="C1763" s="92"/>
      <c r="D1763" s="92"/>
      <c r="E1763" s="266"/>
    </row>
    <row r="1764" spans="1:5" ht="15.75">
      <c r="A1764" s="123"/>
      <c r="B1764" s="289"/>
      <c r="C1764" s="92"/>
      <c r="D1764" s="92"/>
      <c r="E1764" s="266"/>
    </row>
    <row r="1765" spans="1:5" ht="15.75">
      <c r="A1765" s="123"/>
      <c r="B1765" s="289"/>
      <c r="C1765" s="92"/>
      <c r="D1765" s="92"/>
      <c r="E1765" s="266"/>
    </row>
    <row r="1766" spans="1:5" ht="15.75">
      <c r="A1766" s="123"/>
      <c r="B1766" s="289"/>
      <c r="C1766" s="92"/>
      <c r="D1766" s="92"/>
      <c r="E1766" s="266"/>
    </row>
    <row r="1767" spans="1:5" ht="15.75">
      <c r="A1767" s="123"/>
      <c r="B1767" s="289"/>
      <c r="C1767" s="92"/>
      <c r="D1767" s="92"/>
      <c r="E1767" s="266"/>
    </row>
    <row r="1768" spans="1:5" ht="15.75">
      <c r="A1768" s="123"/>
      <c r="B1768" s="289"/>
      <c r="C1768" s="92"/>
      <c r="D1768" s="92"/>
      <c r="E1768" s="266"/>
    </row>
    <row r="1769" spans="1:5" ht="15.75">
      <c r="A1769" s="123"/>
      <c r="B1769" s="289"/>
      <c r="C1769" s="92"/>
      <c r="D1769" s="92"/>
      <c r="E1769" s="266"/>
    </row>
    <row r="1770" spans="1:5" ht="15.75">
      <c r="A1770" s="123"/>
      <c r="B1770" s="289"/>
      <c r="C1770" s="92"/>
      <c r="D1770" s="92"/>
      <c r="E1770" s="266"/>
    </row>
    <row r="1771" spans="1:5" ht="15.75">
      <c r="A1771" s="123"/>
      <c r="B1771" s="289"/>
      <c r="C1771" s="92"/>
      <c r="D1771" s="92"/>
      <c r="E1771" s="266"/>
    </row>
    <row r="1772" spans="1:5" ht="15.75">
      <c r="A1772" s="123"/>
      <c r="B1772" s="289"/>
      <c r="C1772" s="92"/>
      <c r="D1772" s="92"/>
      <c r="E1772" s="266"/>
    </row>
    <row r="1773" spans="1:5" ht="15.75">
      <c r="A1773" s="123"/>
      <c r="B1773" s="289"/>
      <c r="C1773" s="92"/>
      <c r="D1773" s="92"/>
      <c r="E1773" s="266"/>
    </row>
    <row r="1774" spans="1:5" ht="15.75">
      <c r="A1774" s="123"/>
      <c r="B1774" s="289"/>
      <c r="C1774" s="92"/>
      <c r="D1774" s="92"/>
      <c r="E1774" s="266"/>
    </row>
    <row r="1775" spans="1:5" ht="15.75">
      <c r="A1775" s="123"/>
      <c r="B1775" s="289"/>
      <c r="C1775" s="92"/>
      <c r="D1775" s="92"/>
      <c r="E1775" s="266"/>
    </row>
    <row r="1776" spans="1:5" ht="15.75">
      <c r="A1776" s="123"/>
      <c r="B1776" s="289"/>
      <c r="C1776" s="92"/>
      <c r="D1776" s="92"/>
      <c r="E1776" s="266"/>
    </row>
    <row r="1777" spans="1:5" ht="15.75">
      <c r="A1777" s="123"/>
      <c r="B1777" s="289"/>
      <c r="C1777" s="92"/>
      <c r="D1777" s="92"/>
      <c r="E1777" s="266"/>
    </row>
    <row r="1778" spans="1:5" ht="15.75">
      <c r="A1778" s="123"/>
      <c r="B1778" s="289"/>
      <c r="C1778" s="92"/>
      <c r="D1778" s="92"/>
      <c r="E1778" s="266"/>
    </row>
    <row r="1779" spans="1:5" ht="15.75">
      <c r="A1779" s="123"/>
      <c r="B1779" s="289"/>
      <c r="C1779" s="92"/>
      <c r="D1779" s="92"/>
      <c r="E1779" s="266"/>
    </row>
    <row r="1780" spans="1:5" ht="15.75">
      <c r="A1780" s="123"/>
      <c r="B1780" s="289"/>
      <c r="C1780" s="92"/>
      <c r="D1780" s="92"/>
      <c r="E1780" s="266"/>
    </row>
    <row r="1781" spans="1:5" ht="15.75">
      <c r="A1781" s="123"/>
      <c r="B1781" s="289"/>
      <c r="C1781" s="92"/>
      <c r="D1781" s="92"/>
      <c r="E1781" s="266"/>
    </row>
    <row r="1782" spans="1:5" ht="15.75">
      <c r="A1782" s="123"/>
      <c r="B1782" s="289"/>
      <c r="C1782" s="92"/>
      <c r="D1782" s="92"/>
      <c r="E1782" s="266"/>
    </row>
    <row r="1783" spans="1:5" ht="15.75">
      <c r="A1783" s="123"/>
      <c r="B1783" s="289"/>
      <c r="C1783" s="92"/>
      <c r="D1783" s="92"/>
      <c r="E1783" s="266"/>
    </row>
    <row r="1784" spans="1:5" ht="15.75">
      <c r="A1784" s="123"/>
      <c r="B1784" s="289"/>
      <c r="C1784" s="92"/>
      <c r="D1784" s="92"/>
      <c r="E1784" s="266"/>
    </row>
    <row r="1785" spans="1:5" ht="15.75">
      <c r="A1785" s="123"/>
      <c r="B1785" s="289"/>
      <c r="C1785" s="92"/>
      <c r="D1785" s="92"/>
      <c r="E1785" s="266"/>
    </row>
    <row r="1786" spans="1:5" ht="15.75">
      <c r="A1786" s="123"/>
      <c r="B1786" s="289"/>
      <c r="C1786" s="92"/>
      <c r="D1786" s="92"/>
      <c r="E1786" s="266"/>
    </row>
    <row r="1787" spans="1:5" ht="15.75">
      <c r="A1787" s="123"/>
      <c r="B1787" s="289"/>
      <c r="C1787" s="92"/>
      <c r="D1787" s="92"/>
      <c r="E1787" s="266"/>
    </row>
    <row r="1788" spans="1:5" ht="15.75">
      <c r="A1788" s="123"/>
      <c r="B1788" s="289"/>
      <c r="C1788" s="92"/>
      <c r="D1788" s="92"/>
      <c r="E1788" s="266"/>
    </row>
    <row r="1789" spans="1:5" ht="15.75">
      <c r="A1789" s="123"/>
      <c r="B1789" s="289"/>
      <c r="C1789" s="92"/>
      <c r="D1789" s="92"/>
      <c r="E1789" s="266"/>
    </row>
    <row r="1790" spans="1:5" ht="15.75">
      <c r="A1790" s="123"/>
      <c r="B1790" s="289"/>
      <c r="C1790" s="92"/>
      <c r="D1790" s="92"/>
      <c r="E1790" s="266"/>
    </row>
    <row r="1791" spans="1:5" ht="15.75">
      <c r="A1791" s="123"/>
      <c r="B1791" s="289"/>
      <c r="C1791" s="92"/>
      <c r="D1791" s="92"/>
      <c r="E1791" s="266"/>
    </row>
    <row r="1792" spans="1:5" ht="15.75">
      <c r="A1792" s="123"/>
      <c r="B1792" s="289"/>
      <c r="C1792" s="92"/>
      <c r="D1792" s="92"/>
      <c r="E1792" s="266"/>
    </row>
    <row r="1793" spans="1:5" ht="15.75">
      <c r="A1793" s="123"/>
      <c r="B1793" s="289"/>
      <c r="C1793" s="92"/>
      <c r="D1793" s="92"/>
      <c r="E1793" s="266"/>
    </row>
    <row r="1794" spans="1:5" ht="15.75">
      <c r="A1794" s="123"/>
      <c r="B1794" s="289"/>
      <c r="C1794" s="92"/>
      <c r="D1794" s="92"/>
      <c r="E1794" s="266"/>
    </row>
    <row r="1795" spans="1:5" ht="15.75">
      <c r="A1795" s="123"/>
      <c r="B1795" s="289"/>
      <c r="C1795" s="92"/>
      <c r="D1795" s="92"/>
      <c r="E1795" s="266"/>
    </row>
    <row r="1796" spans="1:5" ht="15.75">
      <c r="A1796" s="123"/>
      <c r="B1796" s="289"/>
      <c r="C1796" s="92"/>
      <c r="D1796" s="92"/>
      <c r="E1796" s="266"/>
    </row>
    <row r="1797" spans="1:5" ht="15.75">
      <c r="A1797" s="123"/>
      <c r="B1797" s="289"/>
      <c r="C1797" s="92"/>
      <c r="D1797" s="92"/>
      <c r="E1797" s="266"/>
    </row>
    <row r="1798" spans="1:5" ht="15.75">
      <c r="A1798" s="123"/>
      <c r="B1798" s="289"/>
      <c r="C1798" s="92"/>
      <c r="D1798" s="92"/>
      <c r="E1798" s="266"/>
    </row>
    <row r="1799" spans="1:5" ht="15.75">
      <c r="A1799" s="123"/>
      <c r="B1799" s="289"/>
      <c r="C1799" s="92"/>
      <c r="D1799" s="92"/>
      <c r="E1799" s="266"/>
    </row>
    <row r="1800" spans="1:5" ht="15.75">
      <c r="A1800" s="123"/>
      <c r="B1800" s="289"/>
      <c r="C1800" s="92"/>
      <c r="D1800" s="92"/>
      <c r="E1800" s="266"/>
    </row>
    <row r="1801" spans="1:5" ht="15.75">
      <c r="A1801" s="123"/>
      <c r="B1801" s="289"/>
      <c r="C1801" s="92"/>
      <c r="D1801" s="92"/>
      <c r="E1801" s="266"/>
    </row>
    <row r="1802" spans="1:5" ht="15.75">
      <c r="A1802" s="123"/>
      <c r="B1802" s="289"/>
      <c r="C1802" s="92"/>
      <c r="D1802" s="92"/>
      <c r="E1802" s="266"/>
    </row>
    <row r="1803" spans="1:5" ht="15.75">
      <c r="A1803" s="123"/>
      <c r="B1803" s="289"/>
      <c r="C1803" s="92"/>
      <c r="D1803" s="92"/>
      <c r="E1803" s="266"/>
    </row>
    <row r="1804" spans="1:5" ht="15.75">
      <c r="A1804" s="123"/>
      <c r="B1804" s="289"/>
      <c r="C1804" s="92"/>
      <c r="D1804" s="92"/>
      <c r="E1804" s="266"/>
    </row>
    <row r="1805" spans="1:5" ht="15.75">
      <c r="A1805" s="123"/>
      <c r="B1805" s="289"/>
      <c r="C1805" s="92"/>
      <c r="D1805" s="92"/>
      <c r="E1805" s="266"/>
    </row>
    <row r="1806" spans="1:5" ht="15.75">
      <c r="A1806" s="123"/>
      <c r="B1806" s="289"/>
      <c r="C1806" s="92"/>
      <c r="D1806" s="92"/>
      <c r="E1806" s="266"/>
    </row>
    <row r="1807" spans="1:5" ht="15.75">
      <c r="A1807" s="123"/>
      <c r="B1807" s="289"/>
      <c r="C1807" s="92"/>
      <c r="D1807" s="92"/>
      <c r="E1807" s="266"/>
    </row>
    <row r="1808" spans="1:5" ht="15.75">
      <c r="A1808" s="123"/>
      <c r="B1808" s="289"/>
      <c r="C1808" s="92"/>
      <c r="D1808" s="92"/>
      <c r="E1808" s="266"/>
    </row>
    <row r="1809" spans="1:5" ht="15.75">
      <c r="A1809" s="123"/>
      <c r="B1809" s="289"/>
      <c r="C1809" s="92"/>
      <c r="D1809" s="92"/>
      <c r="E1809" s="266"/>
    </row>
    <row r="1810" spans="1:5" ht="15.75">
      <c r="A1810" s="123"/>
      <c r="B1810" s="289"/>
      <c r="C1810" s="92"/>
      <c r="D1810" s="92"/>
      <c r="E1810" s="266"/>
    </row>
    <row r="1811" spans="1:5" ht="15.75">
      <c r="A1811" s="123"/>
      <c r="B1811" s="289"/>
      <c r="C1811" s="92"/>
      <c r="D1811" s="92"/>
      <c r="E1811" s="266"/>
    </row>
    <row r="1812" spans="1:5" ht="15.75">
      <c r="A1812" s="123"/>
      <c r="B1812" s="289"/>
      <c r="C1812" s="92"/>
      <c r="D1812" s="92"/>
      <c r="E1812" s="266"/>
    </row>
    <row r="1813" spans="1:5" ht="15.75">
      <c r="A1813" s="123"/>
      <c r="B1813" s="289"/>
      <c r="C1813" s="92"/>
      <c r="D1813" s="92"/>
      <c r="E1813" s="266"/>
    </row>
    <row r="1814" spans="1:5" ht="15.75">
      <c r="A1814" s="123"/>
      <c r="B1814" s="289"/>
      <c r="C1814" s="92"/>
      <c r="D1814" s="92"/>
      <c r="E1814" s="266"/>
    </row>
    <row r="1815" spans="1:5" ht="15.75">
      <c r="A1815" s="123"/>
      <c r="B1815" s="289"/>
      <c r="C1815" s="92"/>
      <c r="D1815" s="92"/>
      <c r="E1815" s="266"/>
    </row>
    <row r="1816" spans="1:5" ht="15.75">
      <c r="A1816" s="123"/>
      <c r="B1816" s="289"/>
      <c r="C1816" s="92"/>
      <c r="D1816" s="92"/>
      <c r="E1816" s="266"/>
    </row>
    <row r="1817" spans="1:5" ht="15.75">
      <c r="A1817" s="123"/>
      <c r="B1817" s="289"/>
      <c r="C1817" s="92"/>
      <c r="D1817" s="92"/>
      <c r="E1817" s="266"/>
    </row>
    <row r="1818" spans="1:5" ht="15.75">
      <c r="A1818" s="123"/>
      <c r="B1818" s="289"/>
      <c r="C1818" s="92"/>
      <c r="D1818" s="92"/>
      <c r="E1818" s="266"/>
    </row>
    <row r="1819" spans="1:5" ht="15.75">
      <c r="A1819" s="123"/>
      <c r="B1819" s="289"/>
      <c r="C1819" s="92"/>
      <c r="D1819" s="92"/>
      <c r="E1819" s="266"/>
    </row>
    <row r="1820" spans="1:5" ht="15.75">
      <c r="A1820" s="123"/>
      <c r="B1820" s="289"/>
      <c r="C1820" s="92"/>
      <c r="D1820" s="92"/>
      <c r="E1820" s="266"/>
    </row>
    <row r="1821" spans="1:5" ht="15.75">
      <c r="A1821" s="123"/>
      <c r="B1821" s="289"/>
      <c r="C1821" s="92"/>
      <c r="D1821" s="92"/>
      <c r="E1821" s="266"/>
    </row>
    <row r="1822" spans="1:5" ht="15.75">
      <c r="A1822" s="123"/>
      <c r="B1822" s="289"/>
      <c r="C1822" s="92"/>
      <c r="D1822" s="92"/>
      <c r="E1822" s="266"/>
    </row>
    <row r="1823" spans="1:5" ht="15.75">
      <c r="A1823" s="123"/>
      <c r="B1823" s="289"/>
      <c r="C1823" s="92"/>
      <c r="D1823" s="92"/>
      <c r="E1823" s="266"/>
    </row>
    <row r="1824" spans="1:5" ht="15.75">
      <c r="A1824" s="123"/>
      <c r="B1824" s="289"/>
      <c r="C1824" s="92"/>
      <c r="D1824" s="92"/>
      <c r="E1824" s="266"/>
    </row>
    <row r="1825" spans="1:5" ht="15.75">
      <c r="A1825" s="123"/>
      <c r="B1825" s="289"/>
      <c r="C1825" s="92"/>
      <c r="D1825" s="92"/>
      <c r="E1825" s="266"/>
    </row>
    <row r="1826" spans="1:5" ht="15.75">
      <c r="A1826" s="123"/>
      <c r="B1826" s="289"/>
      <c r="C1826" s="92"/>
      <c r="D1826" s="92"/>
      <c r="E1826" s="266"/>
    </row>
    <row r="1827" spans="1:5" ht="15.75">
      <c r="A1827" s="123"/>
      <c r="B1827" s="289"/>
      <c r="C1827" s="92"/>
      <c r="D1827" s="92"/>
      <c r="E1827" s="266"/>
    </row>
    <row r="1828" spans="1:5" ht="15.75">
      <c r="A1828" s="123"/>
      <c r="B1828" s="289"/>
      <c r="C1828" s="92"/>
      <c r="D1828" s="92"/>
      <c r="E1828" s="266"/>
    </row>
    <row r="1829" spans="1:5" ht="15.75">
      <c r="A1829" s="123"/>
      <c r="B1829" s="289"/>
      <c r="C1829" s="92"/>
      <c r="D1829" s="92"/>
      <c r="E1829" s="266"/>
    </row>
    <row r="1830" spans="1:5" ht="15.75">
      <c r="A1830" s="123"/>
      <c r="B1830" s="289"/>
      <c r="C1830" s="92"/>
      <c r="D1830" s="92"/>
      <c r="E1830" s="266"/>
    </row>
    <row r="1831" spans="1:5" ht="15.75">
      <c r="A1831" s="123"/>
      <c r="B1831" s="289"/>
      <c r="C1831" s="92"/>
      <c r="D1831" s="92"/>
      <c r="E1831" s="266"/>
    </row>
    <row r="1832" spans="1:5" ht="15.75">
      <c r="A1832" s="123"/>
      <c r="B1832" s="289"/>
      <c r="C1832" s="92"/>
      <c r="D1832" s="92"/>
      <c r="E1832" s="266"/>
    </row>
    <row r="1833" spans="1:5" ht="15.75">
      <c r="A1833" s="123"/>
      <c r="B1833" s="289"/>
      <c r="C1833" s="92"/>
      <c r="D1833" s="92"/>
      <c r="E1833" s="266"/>
    </row>
    <row r="1834" spans="1:5" ht="15.75">
      <c r="A1834" s="123"/>
      <c r="B1834" s="289"/>
      <c r="C1834" s="92"/>
      <c r="D1834" s="92"/>
      <c r="E1834" s="266"/>
    </row>
    <row r="1835" spans="1:5" ht="15.75">
      <c r="A1835" s="123"/>
      <c r="B1835" s="289"/>
      <c r="C1835" s="92"/>
      <c r="D1835" s="92"/>
      <c r="E1835" s="266"/>
    </row>
    <row r="1836" spans="1:5" ht="15.75">
      <c r="A1836" s="123"/>
      <c r="B1836" s="289"/>
      <c r="C1836" s="92"/>
      <c r="D1836" s="92"/>
      <c r="E1836" s="266"/>
    </row>
    <row r="1837" spans="1:5" ht="15.75">
      <c r="A1837" s="123"/>
      <c r="B1837" s="289"/>
      <c r="C1837" s="92"/>
      <c r="D1837" s="92"/>
      <c r="E1837" s="266"/>
    </row>
    <row r="1838" spans="1:5" ht="15.75">
      <c r="A1838" s="123"/>
      <c r="B1838" s="289"/>
      <c r="C1838" s="92"/>
      <c r="D1838" s="92"/>
      <c r="E1838" s="266"/>
    </row>
    <row r="1839" spans="1:5" ht="15.75">
      <c r="A1839" s="123"/>
      <c r="B1839" s="289"/>
      <c r="C1839" s="92"/>
      <c r="D1839" s="92"/>
      <c r="E1839" s="266"/>
    </row>
    <row r="1840" spans="1:5" ht="15.75">
      <c r="A1840" s="123"/>
      <c r="B1840" s="289"/>
      <c r="C1840" s="92"/>
      <c r="D1840" s="92"/>
      <c r="E1840" s="266"/>
    </row>
    <row r="1841" spans="1:5" ht="15.75">
      <c r="A1841" s="123"/>
      <c r="B1841" s="289"/>
      <c r="C1841" s="92"/>
      <c r="D1841" s="92"/>
      <c r="E1841" s="266"/>
    </row>
    <row r="1842" spans="1:5" ht="15.75">
      <c r="A1842" s="123"/>
      <c r="B1842" s="289"/>
      <c r="C1842" s="92"/>
      <c r="D1842" s="92"/>
      <c r="E1842" s="266"/>
    </row>
    <row r="1843" spans="1:5" ht="15.75">
      <c r="A1843" s="123"/>
      <c r="B1843" s="289"/>
      <c r="C1843" s="92"/>
      <c r="D1843" s="92"/>
      <c r="E1843" s="266"/>
    </row>
    <row r="1844" spans="1:5" ht="15.75">
      <c r="A1844" s="123"/>
      <c r="B1844" s="289"/>
      <c r="C1844" s="92"/>
      <c r="D1844" s="92"/>
      <c r="E1844" s="266"/>
    </row>
    <row r="1845" spans="1:5" ht="15.75">
      <c r="A1845" s="123"/>
      <c r="B1845" s="289"/>
      <c r="C1845" s="92"/>
      <c r="D1845" s="92"/>
      <c r="E1845" s="266"/>
    </row>
    <row r="1846" spans="1:5" ht="15.75">
      <c r="A1846" s="123"/>
      <c r="B1846" s="289"/>
      <c r="C1846" s="92"/>
      <c r="D1846" s="92"/>
      <c r="E1846" s="266"/>
    </row>
    <row r="1847" spans="1:5" ht="15.75">
      <c r="A1847" s="123"/>
      <c r="B1847" s="289"/>
      <c r="C1847" s="92"/>
      <c r="D1847" s="92"/>
      <c r="E1847" s="266"/>
    </row>
    <row r="1848" spans="1:5" ht="15.75">
      <c r="A1848" s="123"/>
      <c r="B1848" s="289"/>
      <c r="C1848" s="92"/>
      <c r="D1848" s="92"/>
      <c r="E1848" s="266"/>
    </row>
    <row r="1849" spans="1:5" ht="15.75">
      <c r="A1849" s="123"/>
      <c r="B1849" s="289"/>
      <c r="C1849" s="92"/>
      <c r="D1849" s="92"/>
      <c r="E1849" s="266"/>
    </row>
    <row r="1850" spans="1:5" ht="15.75">
      <c r="A1850" s="123"/>
      <c r="B1850" s="289"/>
      <c r="C1850" s="92"/>
      <c r="D1850" s="92"/>
      <c r="E1850" s="266"/>
    </row>
    <row r="1851" spans="1:5" ht="15.75">
      <c r="A1851" s="123"/>
      <c r="B1851" s="289"/>
      <c r="C1851" s="92"/>
      <c r="D1851" s="92"/>
      <c r="E1851" s="266"/>
    </row>
    <row r="1852" spans="1:5" ht="15.75">
      <c r="A1852" s="123"/>
      <c r="B1852" s="289"/>
      <c r="C1852" s="92"/>
      <c r="D1852" s="92"/>
      <c r="E1852" s="266"/>
    </row>
    <row r="1853" spans="1:5" ht="15.75">
      <c r="A1853" s="123"/>
      <c r="B1853" s="289"/>
      <c r="C1853" s="92"/>
      <c r="D1853" s="92"/>
      <c r="E1853" s="266"/>
    </row>
    <row r="1854" spans="1:5" ht="15.75">
      <c r="A1854" s="123"/>
      <c r="B1854" s="289"/>
      <c r="C1854" s="92"/>
      <c r="D1854" s="92"/>
      <c r="E1854" s="266"/>
    </row>
    <row r="1855" spans="1:5" ht="15.75">
      <c r="A1855" s="123"/>
      <c r="B1855" s="289"/>
      <c r="C1855" s="92"/>
      <c r="D1855" s="92"/>
      <c r="E1855" s="266"/>
    </row>
    <row r="1856" spans="1:5" ht="15.75">
      <c r="A1856" s="123"/>
      <c r="B1856" s="289"/>
      <c r="C1856" s="92"/>
      <c r="D1856" s="92"/>
      <c r="E1856" s="266"/>
    </row>
    <row r="1857" spans="1:5" ht="15.75">
      <c r="A1857" s="123"/>
      <c r="B1857" s="289"/>
      <c r="C1857" s="92"/>
      <c r="D1857" s="92"/>
      <c r="E1857" s="266"/>
    </row>
    <row r="1858" spans="1:5" ht="15.75">
      <c r="A1858" s="123"/>
      <c r="B1858" s="289"/>
      <c r="C1858" s="92"/>
      <c r="D1858" s="92"/>
      <c r="E1858" s="266"/>
    </row>
    <row r="1859" spans="1:5" ht="15.75">
      <c r="A1859" s="123"/>
      <c r="B1859" s="289"/>
      <c r="C1859" s="92"/>
      <c r="D1859" s="92"/>
      <c r="E1859" s="266"/>
    </row>
    <row r="1860" spans="1:5" ht="15.75">
      <c r="A1860" s="123"/>
      <c r="B1860" s="289"/>
      <c r="C1860" s="92"/>
      <c r="D1860" s="92"/>
      <c r="E1860" s="266"/>
    </row>
    <row r="1861" spans="1:5" ht="15.75">
      <c r="A1861" s="123"/>
      <c r="B1861" s="289"/>
      <c r="C1861" s="92"/>
      <c r="D1861" s="92"/>
      <c r="E1861" s="266"/>
    </row>
    <row r="1862" spans="1:5" ht="15.75">
      <c r="A1862" s="123"/>
      <c r="B1862" s="289"/>
      <c r="C1862" s="92"/>
      <c r="D1862" s="92"/>
      <c r="E1862" s="266"/>
    </row>
    <row r="1863" spans="1:5" ht="15.75">
      <c r="A1863" s="123"/>
      <c r="B1863" s="289"/>
      <c r="C1863" s="92"/>
      <c r="D1863" s="92"/>
      <c r="E1863" s="266"/>
    </row>
    <row r="1864" spans="1:5" ht="15.75">
      <c r="A1864" s="123"/>
      <c r="B1864" s="289"/>
      <c r="C1864" s="92"/>
      <c r="D1864" s="92"/>
      <c r="E1864" s="266"/>
    </row>
    <row r="1865" spans="1:5" ht="15.75">
      <c r="A1865" s="123"/>
      <c r="B1865" s="289"/>
      <c r="C1865" s="92"/>
      <c r="D1865" s="92"/>
      <c r="E1865" s="266"/>
    </row>
    <row r="1866" spans="1:5" ht="15.75">
      <c r="A1866" s="123"/>
      <c r="B1866" s="289"/>
      <c r="C1866" s="92"/>
      <c r="D1866" s="92"/>
      <c r="E1866" s="266"/>
    </row>
    <row r="1867" spans="1:5" ht="15.75">
      <c r="A1867" s="123"/>
      <c r="B1867" s="289"/>
      <c r="C1867" s="92"/>
      <c r="D1867" s="92"/>
      <c r="E1867" s="266"/>
    </row>
    <row r="1868" spans="1:5" ht="15.75">
      <c r="A1868" s="123"/>
      <c r="B1868" s="289"/>
      <c r="C1868" s="92"/>
      <c r="D1868" s="92"/>
      <c r="E1868" s="266"/>
    </row>
    <row r="1869" spans="1:5" ht="15.75">
      <c r="A1869" s="123"/>
      <c r="B1869" s="289"/>
      <c r="C1869" s="92"/>
      <c r="D1869" s="92"/>
      <c r="E1869" s="266"/>
    </row>
    <row r="1870" spans="1:5" ht="15.75">
      <c r="A1870" s="123"/>
      <c r="B1870" s="289"/>
      <c r="C1870" s="92"/>
      <c r="D1870" s="92"/>
      <c r="E1870" s="266"/>
    </row>
    <row r="1871" spans="1:5" ht="15.75">
      <c r="A1871" s="123"/>
      <c r="B1871" s="289"/>
      <c r="C1871" s="92"/>
      <c r="D1871" s="92"/>
      <c r="E1871" s="266"/>
    </row>
    <row r="1872" spans="1:5" ht="15.75">
      <c r="A1872" s="123"/>
      <c r="B1872" s="289"/>
      <c r="C1872" s="92"/>
      <c r="D1872" s="92"/>
      <c r="E1872" s="266"/>
    </row>
    <row r="1873" spans="1:5" ht="15.75">
      <c r="A1873" s="123"/>
      <c r="B1873" s="289"/>
      <c r="C1873" s="92"/>
      <c r="D1873" s="92"/>
      <c r="E1873" s="266"/>
    </row>
    <row r="1874" spans="1:5" ht="15.75">
      <c r="A1874" s="123"/>
      <c r="B1874" s="289"/>
      <c r="C1874" s="92"/>
      <c r="D1874" s="92"/>
      <c r="E1874" s="266"/>
    </row>
    <row r="1875" spans="1:5" ht="15.75">
      <c r="A1875" s="123"/>
      <c r="B1875" s="289"/>
      <c r="C1875" s="92"/>
      <c r="D1875" s="92"/>
      <c r="E1875" s="266"/>
    </row>
    <row r="1876" spans="1:5" ht="15.75">
      <c r="A1876" s="123"/>
      <c r="B1876" s="289"/>
      <c r="C1876" s="92"/>
      <c r="D1876" s="92"/>
      <c r="E1876" s="266"/>
    </row>
    <row r="1877" spans="1:5" ht="15.75">
      <c r="A1877" s="123"/>
      <c r="B1877" s="289"/>
      <c r="C1877" s="92"/>
      <c r="D1877" s="92"/>
      <c r="E1877" s="266"/>
    </row>
    <row r="1878" spans="1:5" ht="15.75">
      <c r="A1878" s="123"/>
      <c r="B1878" s="289"/>
      <c r="C1878" s="92"/>
      <c r="D1878" s="92"/>
      <c r="E1878" s="266"/>
    </row>
    <row r="1879" spans="1:5" ht="15.75">
      <c r="A1879" s="123"/>
      <c r="B1879" s="289"/>
      <c r="C1879" s="92"/>
      <c r="D1879" s="92"/>
      <c r="E1879" s="266"/>
    </row>
    <row r="1880" spans="1:5" ht="15.75">
      <c r="A1880" s="123"/>
      <c r="B1880" s="289"/>
      <c r="C1880" s="92"/>
      <c r="D1880" s="92"/>
      <c r="E1880" s="266"/>
    </row>
    <row r="1881" spans="1:5" ht="15.75">
      <c r="A1881" s="123"/>
      <c r="B1881" s="289"/>
      <c r="C1881" s="92"/>
      <c r="D1881" s="92"/>
      <c r="E1881" s="266"/>
    </row>
    <row r="1882" spans="1:5" ht="15.75">
      <c r="A1882" s="123"/>
      <c r="B1882" s="289"/>
      <c r="C1882" s="92"/>
      <c r="D1882" s="92"/>
      <c r="E1882" s="266"/>
    </row>
    <row r="1883" spans="1:5" ht="15.75">
      <c r="A1883" s="123"/>
      <c r="B1883" s="289"/>
      <c r="C1883" s="92"/>
      <c r="D1883" s="92"/>
      <c r="E1883" s="266"/>
    </row>
    <row r="1884" spans="1:5" ht="15.75">
      <c r="A1884" s="123"/>
      <c r="B1884" s="289"/>
      <c r="C1884" s="92"/>
      <c r="D1884" s="92"/>
      <c r="E1884" s="266"/>
    </row>
    <row r="1885" spans="1:5" ht="15.75">
      <c r="A1885" s="123"/>
      <c r="B1885" s="289"/>
      <c r="C1885" s="92"/>
      <c r="D1885" s="92"/>
      <c r="E1885" s="266"/>
    </row>
    <row r="1886" spans="1:5" ht="15.75">
      <c r="A1886" s="123"/>
      <c r="B1886" s="289"/>
      <c r="C1886" s="92"/>
      <c r="D1886" s="92"/>
      <c r="E1886" s="266"/>
    </row>
    <row r="1887" spans="1:5" ht="15.75">
      <c r="A1887" s="123"/>
      <c r="B1887" s="289"/>
      <c r="C1887" s="92"/>
      <c r="D1887" s="92"/>
      <c r="E1887" s="266"/>
    </row>
    <row r="1888" spans="1:5" ht="15.75">
      <c r="A1888" s="123"/>
      <c r="B1888" s="289"/>
      <c r="C1888" s="92"/>
      <c r="D1888" s="92"/>
      <c r="E1888" s="266"/>
    </row>
    <row r="1889" spans="1:5" ht="15.75">
      <c r="A1889" s="123"/>
      <c r="B1889" s="289"/>
      <c r="C1889" s="92"/>
      <c r="D1889" s="92"/>
      <c r="E1889" s="266"/>
    </row>
    <row r="1890" spans="1:5" ht="15.75">
      <c r="A1890" s="123"/>
      <c r="B1890" s="289"/>
      <c r="C1890" s="92"/>
      <c r="D1890" s="92"/>
      <c r="E1890" s="266"/>
    </row>
    <row r="1891" spans="1:5" ht="15.75">
      <c r="A1891" s="123"/>
      <c r="B1891" s="289"/>
      <c r="C1891" s="92"/>
      <c r="D1891" s="92"/>
      <c r="E1891" s="266"/>
    </row>
    <row r="1892" spans="1:5" ht="15.75">
      <c r="A1892" s="123"/>
      <c r="B1892" s="289"/>
      <c r="C1892" s="92"/>
      <c r="D1892" s="92"/>
      <c r="E1892" s="266"/>
    </row>
    <row r="1893" spans="1:5" ht="15.75">
      <c r="A1893" s="123"/>
      <c r="B1893" s="289"/>
      <c r="C1893" s="92"/>
      <c r="D1893" s="92"/>
      <c r="E1893" s="266"/>
    </row>
    <row r="1894" spans="1:5" ht="15.75">
      <c r="A1894" s="123"/>
      <c r="B1894" s="289"/>
      <c r="C1894" s="92"/>
      <c r="D1894" s="92"/>
      <c r="E1894" s="266"/>
    </row>
    <row r="1895" spans="1:5" ht="15.75">
      <c r="A1895" s="123"/>
      <c r="B1895" s="289"/>
      <c r="C1895" s="92"/>
      <c r="D1895" s="92"/>
      <c r="E1895" s="266"/>
    </row>
    <row r="1896" spans="1:5" ht="15.75">
      <c r="A1896" s="123"/>
      <c r="B1896" s="289"/>
      <c r="C1896" s="92"/>
      <c r="D1896" s="92"/>
      <c r="E1896" s="266"/>
    </row>
    <row r="1897" spans="1:5" ht="15.75">
      <c r="A1897" s="123"/>
      <c r="B1897" s="289"/>
      <c r="C1897" s="92"/>
      <c r="D1897" s="92"/>
      <c r="E1897" s="266"/>
    </row>
    <row r="1898" spans="1:5" ht="15.75">
      <c r="A1898" s="123"/>
      <c r="B1898" s="289"/>
      <c r="C1898" s="92"/>
      <c r="D1898" s="92"/>
      <c r="E1898" s="266"/>
    </row>
    <row r="1899" spans="1:5" ht="15.75">
      <c r="A1899" s="123"/>
      <c r="B1899" s="289"/>
      <c r="C1899" s="92"/>
      <c r="D1899" s="92"/>
      <c r="E1899" s="266"/>
    </row>
    <row r="1900" spans="1:5" ht="15.75">
      <c r="A1900" s="123"/>
      <c r="B1900" s="289"/>
      <c r="C1900" s="92"/>
      <c r="D1900" s="92"/>
      <c r="E1900" s="266"/>
    </row>
    <row r="1901" spans="1:5" ht="15.75">
      <c r="A1901" s="123"/>
      <c r="B1901" s="289"/>
      <c r="C1901" s="92"/>
      <c r="D1901" s="92"/>
      <c r="E1901" s="266"/>
    </row>
    <row r="1902" spans="1:5" ht="15.75">
      <c r="A1902" s="123"/>
      <c r="B1902" s="289"/>
      <c r="C1902" s="92"/>
      <c r="D1902" s="92"/>
      <c r="E1902" s="266"/>
    </row>
    <row r="1903" spans="1:5" ht="15.75">
      <c r="A1903" s="123"/>
      <c r="B1903" s="289"/>
      <c r="C1903" s="92"/>
      <c r="D1903" s="92"/>
      <c r="E1903" s="266"/>
    </row>
    <row r="1904" spans="1:5" ht="15.75">
      <c r="A1904" s="123"/>
      <c r="B1904" s="289"/>
      <c r="C1904" s="92"/>
      <c r="D1904" s="92"/>
      <c r="E1904" s="266"/>
    </row>
    <row r="1905" spans="1:5" ht="15.75">
      <c r="A1905" s="123"/>
      <c r="B1905" s="289"/>
      <c r="C1905" s="92"/>
      <c r="D1905" s="92"/>
      <c r="E1905" s="266"/>
    </row>
    <row r="1906" spans="1:5" ht="15.75">
      <c r="A1906" s="123"/>
      <c r="B1906" s="289"/>
      <c r="C1906" s="92"/>
      <c r="D1906" s="92"/>
      <c r="E1906" s="266"/>
    </row>
    <row r="1907" spans="1:5" ht="15.75">
      <c r="A1907" s="123"/>
      <c r="B1907" s="289"/>
      <c r="C1907" s="92"/>
      <c r="D1907" s="92"/>
      <c r="E1907" s="266"/>
    </row>
    <row r="1908" spans="1:5" ht="15.75">
      <c r="A1908" s="123"/>
      <c r="B1908" s="289"/>
      <c r="C1908" s="92"/>
      <c r="D1908" s="92"/>
      <c r="E1908" s="266"/>
    </row>
    <row r="1909" spans="1:5" ht="15.75">
      <c r="A1909" s="123"/>
      <c r="B1909" s="289"/>
      <c r="C1909" s="92"/>
      <c r="D1909" s="92"/>
      <c r="E1909" s="266"/>
    </row>
    <row r="1910" spans="1:5" ht="15.75">
      <c r="A1910" s="123"/>
      <c r="B1910" s="289"/>
      <c r="C1910" s="92"/>
      <c r="D1910" s="92"/>
      <c r="E1910" s="266"/>
    </row>
    <row r="1911" spans="1:5" ht="15.75">
      <c r="A1911" s="123"/>
      <c r="B1911" s="289"/>
      <c r="C1911" s="92"/>
      <c r="D1911" s="92"/>
      <c r="E1911" s="266"/>
    </row>
    <row r="1912" spans="1:5" ht="15.75">
      <c r="A1912" s="123"/>
      <c r="B1912" s="289"/>
      <c r="C1912" s="92"/>
      <c r="D1912" s="92"/>
      <c r="E1912" s="266"/>
    </row>
    <row r="1913" spans="1:5" ht="15.75">
      <c r="A1913" s="123"/>
      <c r="B1913" s="289"/>
      <c r="C1913" s="92"/>
      <c r="D1913" s="92"/>
      <c r="E1913" s="266"/>
    </row>
    <row r="1914" spans="1:5" ht="15.75">
      <c r="A1914" s="123"/>
      <c r="B1914" s="289"/>
      <c r="C1914" s="92"/>
      <c r="D1914" s="92"/>
      <c r="E1914" s="266"/>
    </row>
    <row r="1915" spans="1:5" ht="15.75">
      <c r="A1915" s="123"/>
      <c r="B1915" s="289"/>
      <c r="C1915" s="92"/>
      <c r="D1915" s="92"/>
      <c r="E1915" s="266"/>
    </row>
    <row r="1916" spans="1:5" ht="15.75">
      <c r="A1916" s="123"/>
      <c r="B1916" s="289"/>
      <c r="C1916" s="92"/>
      <c r="D1916" s="92"/>
      <c r="E1916" s="266"/>
    </row>
    <row r="1917" spans="1:5" ht="15.75">
      <c r="A1917" s="123"/>
      <c r="B1917" s="289"/>
      <c r="C1917" s="92"/>
      <c r="D1917" s="92"/>
      <c r="E1917" s="266"/>
    </row>
    <row r="1918" spans="1:5" ht="15.75">
      <c r="A1918" s="123"/>
      <c r="B1918" s="289"/>
      <c r="C1918" s="92"/>
      <c r="D1918" s="92"/>
      <c r="E1918" s="266"/>
    </row>
    <row r="1919" spans="1:5" ht="15.75">
      <c r="A1919" s="123"/>
      <c r="B1919" s="289"/>
      <c r="C1919" s="92"/>
      <c r="D1919" s="92"/>
      <c r="E1919" s="266"/>
    </row>
    <row r="1920" spans="1:5" ht="15.75">
      <c r="A1920" s="123"/>
      <c r="B1920" s="289"/>
      <c r="C1920" s="92"/>
      <c r="D1920" s="92"/>
      <c r="E1920" s="266"/>
    </row>
    <row r="1921" spans="1:5" ht="15.75">
      <c r="A1921" s="123"/>
      <c r="B1921" s="289"/>
      <c r="C1921" s="92"/>
      <c r="D1921" s="92"/>
      <c r="E1921" s="266"/>
    </row>
    <row r="1922" spans="1:5" ht="15.75">
      <c r="A1922" s="123"/>
      <c r="B1922" s="289"/>
      <c r="C1922" s="92"/>
      <c r="D1922" s="92"/>
      <c r="E1922" s="266"/>
    </row>
    <row r="1923" spans="1:5" ht="15.75">
      <c r="A1923" s="123"/>
      <c r="B1923" s="289"/>
      <c r="C1923" s="92"/>
      <c r="D1923" s="92"/>
      <c r="E1923" s="266"/>
    </row>
    <row r="1924" spans="1:5" ht="15.75">
      <c r="A1924" s="123"/>
      <c r="B1924" s="289"/>
      <c r="C1924" s="92"/>
      <c r="D1924" s="92"/>
      <c r="E1924" s="266"/>
    </row>
    <row r="1925" spans="1:5" ht="15.75">
      <c r="A1925" s="123"/>
      <c r="B1925" s="289"/>
      <c r="C1925" s="92"/>
      <c r="D1925" s="92"/>
      <c r="E1925" s="266"/>
    </row>
    <row r="1926" spans="1:5" ht="15.75">
      <c r="A1926" s="123"/>
      <c r="B1926" s="289"/>
      <c r="C1926" s="92"/>
      <c r="D1926" s="92"/>
      <c r="E1926" s="266"/>
    </row>
    <row r="1927" spans="1:5" ht="15.75">
      <c r="A1927" s="123"/>
      <c r="B1927" s="289"/>
      <c r="C1927" s="92"/>
      <c r="D1927" s="92"/>
      <c r="E1927" s="266"/>
    </row>
    <row r="1928" spans="1:5" ht="15.75">
      <c r="A1928" s="123"/>
      <c r="B1928" s="289"/>
      <c r="C1928" s="92"/>
      <c r="D1928" s="92"/>
      <c r="E1928" s="266"/>
    </row>
    <row r="1929" spans="1:5" ht="15.75">
      <c r="A1929" s="123"/>
      <c r="B1929" s="289"/>
      <c r="C1929" s="92"/>
      <c r="D1929" s="92"/>
      <c r="E1929" s="266"/>
    </row>
    <row r="1930" spans="1:5" ht="15.75">
      <c r="A1930" s="123"/>
      <c r="B1930" s="289"/>
      <c r="C1930" s="92"/>
      <c r="D1930" s="92"/>
      <c r="E1930" s="266"/>
    </row>
    <row r="1931" spans="1:5" ht="15.75">
      <c r="A1931" s="123"/>
      <c r="B1931" s="289"/>
      <c r="C1931" s="92"/>
      <c r="D1931" s="92"/>
      <c r="E1931" s="266"/>
    </row>
    <row r="1932" spans="1:5" ht="15.75">
      <c r="A1932" s="123"/>
      <c r="B1932" s="289"/>
      <c r="C1932" s="92"/>
      <c r="D1932" s="92"/>
      <c r="E1932" s="266"/>
    </row>
    <row r="1933" spans="1:5" ht="15.75">
      <c r="A1933" s="123"/>
      <c r="B1933" s="289"/>
      <c r="C1933" s="92"/>
      <c r="D1933" s="92"/>
      <c r="E1933" s="266"/>
    </row>
    <row r="1934" spans="1:5" ht="15.75">
      <c r="A1934" s="123"/>
      <c r="B1934" s="289"/>
      <c r="C1934" s="92"/>
      <c r="D1934" s="92"/>
      <c r="E1934" s="266"/>
    </row>
    <row r="1935" spans="1:5" ht="15.75">
      <c r="A1935" s="123"/>
      <c r="B1935" s="289"/>
      <c r="C1935" s="92"/>
      <c r="D1935" s="92"/>
      <c r="E1935" s="266"/>
    </row>
    <row r="1936" spans="1:5" ht="15.75">
      <c r="A1936" s="123"/>
      <c r="B1936" s="289"/>
      <c r="C1936" s="92"/>
      <c r="D1936" s="92"/>
      <c r="E1936" s="266"/>
    </row>
    <row r="1937" spans="1:5" ht="15.75">
      <c r="A1937" s="123"/>
      <c r="B1937" s="289"/>
      <c r="C1937" s="92"/>
      <c r="D1937" s="92"/>
      <c r="E1937" s="266"/>
    </row>
    <row r="1938" spans="1:5" ht="15.75">
      <c r="A1938" s="123"/>
      <c r="B1938" s="289"/>
      <c r="C1938" s="92"/>
      <c r="D1938" s="92"/>
      <c r="E1938" s="266"/>
    </row>
    <row r="1939" spans="1:5" ht="15.75">
      <c r="A1939" s="123"/>
      <c r="B1939" s="289"/>
      <c r="C1939" s="92"/>
      <c r="D1939" s="92"/>
      <c r="E1939" s="266"/>
    </row>
    <row r="1940" spans="1:5" ht="15.75">
      <c r="A1940" s="123"/>
      <c r="B1940" s="289"/>
      <c r="C1940" s="92"/>
      <c r="D1940" s="92"/>
      <c r="E1940" s="266"/>
    </row>
    <row r="1941" spans="1:5" ht="15.75">
      <c r="A1941" s="123"/>
      <c r="B1941" s="289"/>
      <c r="C1941" s="92"/>
      <c r="D1941" s="92"/>
      <c r="E1941" s="266"/>
    </row>
    <row r="1942" spans="1:5" ht="15.75">
      <c r="A1942" s="123"/>
      <c r="B1942" s="289"/>
      <c r="C1942" s="92"/>
      <c r="D1942" s="92"/>
      <c r="E1942" s="266"/>
    </row>
    <row r="1943" spans="1:5" ht="15.75">
      <c r="A1943" s="123"/>
      <c r="B1943" s="289"/>
      <c r="C1943" s="92"/>
      <c r="D1943" s="92"/>
      <c r="E1943" s="266"/>
    </row>
    <row r="1944" spans="1:5" ht="15.75">
      <c r="A1944" s="123"/>
      <c r="B1944" s="289"/>
      <c r="C1944" s="92"/>
      <c r="D1944" s="92"/>
      <c r="E1944" s="266"/>
    </row>
    <row r="1945" spans="1:5" ht="15.75">
      <c r="A1945" s="123"/>
      <c r="B1945" s="289"/>
      <c r="C1945" s="92"/>
      <c r="D1945" s="92"/>
      <c r="E1945" s="266"/>
    </row>
    <row r="1946" spans="1:5" ht="15.75">
      <c r="A1946" s="123"/>
      <c r="B1946" s="289"/>
      <c r="C1946" s="92"/>
      <c r="D1946" s="92"/>
      <c r="E1946" s="266"/>
    </row>
    <row r="1947" spans="1:5" ht="15.75">
      <c r="A1947" s="123"/>
      <c r="B1947" s="289"/>
      <c r="C1947" s="92"/>
      <c r="D1947" s="92"/>
      <c r="E1947" s="266"/>
    </row>
    <row r="1948" spans="1:5" ht="15.75">
      <c r="A1948" s="123"/>
      <c r="B1948" s="289"/>
      <c r="C1948" s="92"/>
      <c r="D1948" s="92"/>
      <c r="E1948" s="266"/>
    </row>
    <row r="1949" spans="1:5" ht="15.75">
      <c r="A1949" s="123"/>
      <c r="B1949" s="289"/>
      <c r="C1949" s="92"/>
      <c r="D1949" s="92"/>
      <c r="E1949" s="266"/>
    </row>
    <row r="1950" spans="1:5" ht="15.75">
      <c r="A1950" s="123"/>
      <c r="B1950" s="289"/>
      <c r="C1950" s="92"/>
      <c r="D1950" s="92"/>
      <c r="E1950" s="266"/>
    </row>
    <row r="1951" spans="1:5" ht="15.75">
      <c r="A1951" s="123"/>
      <c r="B1951" s="289"/>
      <c r="C1951" s="92"/>
      <c r="D1951" s="92"/>
      <c r="E1951" s="266"/>
    </row>
    <row r="1952" spans="1:5" ht="15.75">
      <c r="A1952" s="123"/>
      <c r="B1952" s="289"/>
      <c r="C1952" s="92"/>
      <c r="D1952" s="92"/>
      <c r="E1952" s="266"/>
    </row>
    <row r="1953" spans="1:5" ht="15.75">
      <c r="A1953" s="123"/>
      <c r="B1953" s="289"/>
      <c r="C1953" s="92"/>
      <c r="D1953" s="92"/>
      <c r="E1953" s="266"/>
    </row>
    <row r="1954" spans="1:5" ht="15.75">
      <c r="A1954" s="123"/>
      <c r="B1954" s="289"/>
      <c r="C1954" s="92"/>
      <c r="D1954" s="92"/>
      <c r="E1954" s="266"/>
    </row>
    <row r="1955" spans="1:5" ht="15.75">
      <c r="A1955" s="123"/>
      <c r="B1955" s="289"/>
      <c r="C1955" s="92"/>
      <c r="D1955" s="92"/>
      <c r="E1955" s="266"/>
    </row>
    <row r="1956" spans="1:5" ht="15.75">
      <c r="A1956" s="123"/>
      <c r="B1956" s="289"/>
      <c r="C1956" s="92"/>
      <c r="D1956" s="92"/>
      <c r="E1956" s="266"/>
    </row>
    <row r="1957" spans="1:5" ht="15.75">
      <c r="A1957" s="123"/>
      <c r="B1957" s="289"/>
      <c r="C1957" s="92"/>
      <c r="D1957" s="92"/>
      <c r="E1957" s="266"/>
    </row>
    <row r="1958" spans="1:5" ht="15.75">
      <c r="A1958" s="123"/>
      <c r="B1958" s="289"/>
      <c r="C1958" s="92"/>
      <c r="D1958" s="92"/>
      <c r="E1958" s="266"/>
    </row>
    <row r="1959" spans="1:5" ht="15.75">
      <c r="A1959" s="123"/>
      <c r="B1959" s="289"/>
      <c r="C1959" s="92"/>
      <c r="D1959" s="92"/>
      <c r="E1959" s="266"/>
    </row>
    <row r="1960" spans="1:5" ht="15.75">
      <c r="A1960" s="123"/>
      <c r="B1960" s="289"/>
      <c r="C1960" s="92"/>
      <c r="D1960" s="92"/>
      <c r="E1960" s="266"/>
    </row>
    <row r="1961" spans="1:5" ht="15.75">
      <c r="A1961" s="123"/>
      <c r="B1961" s="289"/>
      <c r="C1961" s="92"/>
      <c r="D1961" s="92"/>
      <c r="E1961" s="266"/>
    </row>
    <row r="1962" spans="1:5" ht="15.75">
      <c r="A1962" s="123"/>
      <c r="B1962" s="289"/>
      <c r="C1962" s="92"/>
      <c r="D1962" s="92"/>
      <c r="E1962" s="266"/>
    </row>
    <row r="1963" spans="1:5" ht="15.75">
      <c r="A1963" s="123"/>
      <c r="B1963" s="289"/>
      <c r="C1963" s="92"/>
      <c r="D1963" s="92"/>
      <c r="E1963" s="266"/>
    </row>
    <row r="1964" spans="1:5" ht="15.75">
      <c r="A1964" s="123"/>
      <c r="B1964" s="289"/>
      <c r="C1964" s="92"/>
      <c r="D1964" s="92"/>
      <c r="E1964" s="266"/>
    </row>
    <row r="1965" spans="1:5" ht="15.75">
      <c r="A1965" s="123"/>
      <c r="B1965" s="289"/>
      <c r="C1965" s="92"/>
      <c r="D1965" s="92"/>
      <c r="E1965" s="266"/>
    </row>
    <row r="1966" spans="1:5" ht="15.75">
      <c r="A1966" s="123"/>
      <c r="B1966" s="289"/>
      <c r="C1966" s="92"/>
      <c r="D1966" s="92"/>
      <c r="E1966" s="266"/>
    </row>
    <row r="1967" spans="1:5" ht="15.75">
      <c r="A1967" s="123"/>
      <c r="B1967" s="289"/>
      <c r="C1967" s="92"/>
      <c r="D1967" s="92"/>
      <c r="E1967" s="266"/>
    </row>
    <row r="1968" spans="1:5" ht="15.75">
      <c r="A1968" s="123"/>
      <c r="B1968" s="289"/>
      <c r="C1968" s="92"/>
      <c r="D1968" s="92"/>
      <c r="E1968" s="266"/>
    </row>
    <row r="1969" spans="1:5" ht="15.75">
      <c r="A1969" s="123"/>
      <c r="B1969" s="289"/>
      <c r="C1969" s="92"/>
      <c r="D1969" s="92"/>
      <c r="E1969" s="266"/>
    </row>
    <row r="1970" spans="1:5" ht="15.75">
      <c r="A1970" s="123"/>
      <c r="B1970" s="289"/>
      <c r="C1970" s="92"/>
      <c r="D1970" s="92"/>
      <c r="E1970" s="266"/>
    </row>
    <row r="1971" spans="1:5" ht="15.75">
      <c r="A1971" s="123"/>
      <c r="B1971" s="289"/>
      <c r="C1971" s="92"/>
      <c r="D1971" s="92"/>
      <c r="E1971" s="266"/>
    </row>
    <row r="1972" spans="1:5" ht="15.75">
      <c r="A1972" s="123"/>
      <c r="B1972" s="289"/>
      <c r="C1972" s="92"/>
      <c r="D1972" s="92"/>
      <c r="E1972" s="266"/>
    </row>
    <row r="1973" spans="1:5" ht="15.75">
      <c r="A1973" s="123"/>
      <c r="B1973" s="289"/>
      <c r="C1973" s="92"/>
      <c r="D1973" s="92"/>
      <c r="E1973" s="266"/>
    </row>
    <row r="1974" spans="1:5" ht="15.75">
      <c r="A1974" s="123"/>
      <c r="B1974" s="289"/>
      <c r="C1974" s="92"/>
      <c r="D1974" s="92"/>
      <c r="E1974" s="266"/>
    </row>
    <row r="1975" spans="1:5" ht="15.75">
      <c r="A1975" s="123"/>
      <c r="B1975" s="289"/>
      <c r="C1975" s="92"/>
      <c r="D1975" s="92"/>
      <c r="E1975" s="266"/>
    </row>
    <row r="1976" spans="1:5" ht="15.75">
      <c r="A1976" s="123"/>
      <c r="B1976" s="289"/>
      <c r="C1976" s="92"/>
      <c r="D1976" s="92"/>
      <c r="E1976" s="266"/>
    </row>
    <row r="1977" spans="1:5" ht="15.75">
      <c r="A1977" s="123"/>
      <c r="B1977" s="289"/>
      <c r="C1977" s="92"/>
      <c r="D1977" s="92"/>
      <c r="E1977" s="266"/>
    </row>
    <row r="1978" spans="1:5" ht="15.75">
      <c r="A1978" s="123"/>
      <c r="B1978" s="289"/>
      <c r="C1978" s="92"/>
      <c r="D1978" s="92"/>
      <c r="E1978" s="266"/>
    </row>
    <row r="1979" spans="1:5" ht="15.75">
      <c r="A1979" s="123"/>
      <c r="B1979" s="289"/>
      <c r="C1979" s="92"/>
      <c r="D1979" s="92"/>
      <c r="E1979" s="266"/>
    </row>
    <row r="1980" spans="1:5" ht="15.75">
      <c r="A1980" s="123"/>
      <c r="B1980" s="289"/>
      <c r="C1980" s="92"/>
      <c r="D1980" s="92"/>
      <c r="E1980" s="266"/>
    </row>
    <row r="1981" spans="1:5" ht="15.75">
      <c r="A1981" s="123"/>
      <c r="B1981" s="289"/>
      <c r="C1981" s="92"/>
      <c r="D1981" s="92"/>
      <c r="E1981" s="266"/>
    </row>
    <row r="1982" spans="1:5" ht="15.75">
      <c r="A1982" s="123"/>
      <c r="B1982" s="289"/>
      <c r="C1982" s="92"/>
      <c r="D1982" s="92"/>
      <c r="E1982" s="266"/>
    </row>
    <row r="1983" spans="1:5" ht="15.75">
      <c r="A1983" s="123"/>
      <c r="B1983" s="289"/>
      <c r="C1983" s="92"/>
      <c r="D1983" s="92"/>
      <c r="E1983" s="266"/>
    </row>
    <row r="1984" spans="1:5" ht="15.75">
      <c r="A1984" s="123"/>
      <c r="B1984" s="289"/>
      <c r="C1984" s="92"/>
      <c r="D1984" s="92"/>
      <c r="E1984" s="266"/>
    </row>
    <row r="1985" spans="1:5" ht="15.75">
      <c r="A1985" s="123"/>
      <c r="B1985" s="289"/>
      <c r="C1985" s="92"/>
      <c r="D1985" s="92"/>
      <c r="E1985" s="266"/>
    </row>
    <row r="1986" spans="1:5" ht="15.75">
      <c r="A1986" s="123"/>
      <c r="B1986" s="289"/>
      <c r="C1986" s="92"/>
      <c r="D1986" s="92"/>
      <c r="E1986" s="266"/>
    </row>
    <row r="1987" spans="1:5" ht="15.75">
      <c r="A1987" s="123"/>
      <c r="B1987" s="289"/>
      <c r="C1987" s="92"/>
      <c r="D1987" s="92"/>
      <c r="E1987" s="266"/>
    </row>
    <row r="1988" spans="1:5" ht="15.75">
      <c r="A1988" s="123"/>
      <c r="B1988" s="289"/>
      <c r="C1988" s="92"/>
      <c r="D1988" s="92"/>
      <c r="E1988" s="266"/>
    </row>
    <row r="1989" spans="1:5" ht="15.75">
      <c r="A1989" s="123"/>
      <c r="B1989" s="289"/>
      <c r="C1989" s="92"/>
      <c r="D1989" s="92"/>
      <c r="E1989" s="266"/>
    </row>
    <row r="1990" spans="1:5" ht="15.75">
      <c r="A1990" s="123"/>
      <c r="B1990" s="289"/>
      <c r="C1990" s="92"/>
      <c r="D1990" s="92"/>
      <c r="E1990" s="266"/>
    </row>
    <row r="1991" spans="1:5" ht="15.75">
      <c r="A1991" s="123"/>
      <c r="B1991" s="289"/>
      <c r="C1991" s="92"/>
      <c r="D1991" s="92"/>
      <c r="E1991" s="266"/>
    </row>
    <row r="1992" spans="1:5" ht="15.75">
      <c r="A1992" s="123"/>
      <c r="B1992" s="289"/>
      <c r="C1992" s="92"/>
      <c r="D1992" s="92"/>
      <c r="E1992" s="266"/>
    </row>
    <row r="1993" spans="1:5" ht="15.75">
      <c r="A1993" s="123"/>
      <c r="B1993" s="289"/>
      <c r="C1993" s="92"/>
      <c r="D1993" s="92"/>
      <c r="E1993" s="266"/>
    </row>
    <row r="1994" spans="1:5" ht="15.75">
      <c r="A1994" s="123"/>
      <c r="B1994" s="289"/>
      <c r="C1994" s="92"/>
      <c r="D1994" s="92"/>
      <c r="E1994" s="266"/>
    </row>
    <row r="1995" spans="1:5" ht="15.75">
      <c r="A1995" s="123"/>
      <c r="B1995" s="289"/>
      <c r="C1995" s="92"/>
      <c r="D1995" s="92"/>
      <c r="E1995" s="266"/>
    </row>
    <row r="1996" spans="1:5" ht="15.75">
      <c r="A1996" s="123"/>
      <c r="B1996" s="289"/>
      <c r="C1996" s="92"/>
      <c r="D1996" s="92"/>
      <c r="E1996" s="266"/>
    </row>
    <row r="1997" spans="1:5" ht="15.75">
      <c r="A1997" s="123"/>
      <c r="B1997" s="289"/>
      <c r="C1997" s="92"/>
      <c r="D1997" s="92"/>
      <c r="E1997" s="266"/>
    </row>
    <row r="1998" spans="1:5" ht="15.75">
      <c r="A1998" s="123"/>
      <c r="B1998" s="289"/>
      <c r="C1998" s="92"/>
      <c r="D1998" s="92"/>
      <c r="E1998" s="266"/>
    </row>
    <row r="1999" spans="1:5" ht="15.75">
      <c r="A1999" s="123"/>
      <c r="B1999" s="289"/>
      <c r="C1999" s="92"/>
      <c r="D1999" s="92"/>
      <c r="E1999" s="266"/>
    </row>
    <row r="2000" spans="1:5" ht="15.75">
      <c r="A2000" s="123"/>
      <c r="B2000" s="289"/>
      <c r="C2000" s="92"/>
      <c r="D2000" s="92"/>
      <c r="E2000" s="266"/>
    </row>
    <row r="2001" spans="1:5" ht="15.75">
      <c r="A2001" s="123"/>
      <c r="B2001" s="289"/>
      <c r="C2001" s="92"/>
      <c r="D2001" s="92"/>
      <c r="E2001" s="266"/>
    </row>
    <row r="2002" spans="1:5" ht="15.75">
      <c r="A2002" s="123"/>
      <c r="B2002" s="289"/>
      <c r="C2002" s="92"/>
      <c r="D2002" s="92"/>
      <c r="E2002" s="266"/>
    </row>
    <row r="2003" spans="1:5" ht="15.75">
      <c r="A2003" s="123"/>
      <c r="B2003" s="289"/>
      <c r="C2003" s="92"/>
      <c r="D2003" s="92"/>
      <c r="E2003" s="266"/>
    </row>
    <row r="2004" spans="1:5" ht="15.75">
      <c r="A2004" s="123"/>
      <c r="B2004" s="289"/>
      <c r="C2004" s="92"/>
      <c r="D2004" s="92"/>
      <c r="E2004" s="266"/>
    </row>
    <row r="2005" spans="1:5" ht="15.75">
      <c r="A2005" s="123"/>
      <c r="B2005" s="289"/>
      <c r="C2005" s="92"/>
      <c r="D2005" s="92"/>
      <c r="E2005" s="266"/>
    </row>
    <row r="2006" spans="1:5" ht="13.35" customHeight="1" thickBot="1">
      <c r="A2006" s="124"/>
      <c r="B2006" s="396" t="str">
        <f ca="1">OFFSET(L!$C$1,MATCH("General"&amp;"Cpy",L!$A:$A,0)-1,SL,,)</f>
        <v>© 2023 Responsible Minerals Initiative. All rights reserved.</v>
      </c>
      <c r="C2006" s="396"/>
      <c r="D2006" s="396"/>
      <c r="E2006" s="269"/>
    </row>
    <row r="2007" spans="1:5" ht="13.5" thickTop="1">
      <c r="D2007" s="27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2" bestFit="1" customWidth="1"/>
    <col min="2" max="2" width="42.875" style="182" customWidth="1"/>
    <col min="3" max="3" width="63.875" style="182" customWidth="1"/>
    <col min="4" max="4" width="25.625" style="182" customWidth="1"/>
    <col min="5" max="5" width="12.625" style="182" customWidth="1"/>
    <col min="6" max="6" width="12.625" style="183" customWidth="1"/>
    <col min="7" max="7" width="15.375" style="182" customWidth="1"/>
    <col min="8" max="8" width="23.875" style="182" customWidth="1"/>
    <col min="9" max="9" width="28.125" style="182" customWidth="1"/>
    <col min="10" max="10" width="48.25" style="182" hidden="1" customWidth="1"/>
    <col min="11" max="11" width="49.75" style="182" hidden="1" customWidth="1"/>
    <col min="12" max="16384" width="8.875" style="182"/>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85" customFormat="1" ht="51">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155</v>
      </c>
      <c r="K4" s="184" t="s">
        <v>155</v>
      </c>
    </row>
    <row r="5" spans="1:11" ht="13.5" customHeight="1">
      <c r="A5" s="202" t="s">
        <v>134</v>
      </c>
      <c r="B5" s="202" t="s">
        <v>156</v>
      </c>
      <c r="C5" s="202" t="s">
        <v>156</v>
      </c>
      <c r="D5" s="202" t="s">
        <v>157</v>
      </c>
      <c r="E5" s="202" t="s">
        <v>158</v>
      </c>
      <c r="F5" s="202" t="s">
        <v>159</v>
      </c>
      <c r="G5" s="202"/>
      <c r="H5" s="202" t="s">
        <v>160</v>
      </c>
      <c r="I5" s="202" t="s">
        <v>161</v>
      </c>
      <c r="J5" s="223" t="str">
        <f t="shared" ref="J5" si="0">A5&amp;B5</f>
        <v>Gold8853 S.p.A.</v>
      </c>
      <c r="K5" s="223" t="str">
        <f t="shared" ref="K5" si="1">A5&amp;B5</f>
        <v>Gold8853 S.p.A.</v>
      </c>
    </row>
    <row r="6" spans="1:11" ht="13.5" customHeight="1">
      <c r="A6" s="202" t="s">
        <v>134</v>
      </c>
      <c r="B6" s="202" t="s">
        <v>162</v>
      </c>
      <c r="C6" s="202" t="s">
        <v>162</v>
      </c>
      <c r="D6" s="202" t="s">
        <v>163</v>
      </c>
      <c r="E6" s="202" t="s">
        <v>164</v>
      </c>
      <c r="F6" s="202" t="s">
        <v>159</v>
      </c>
      <c r="G6" s="202"/>
      <c r="H6" s="202" t="s">
        <v>165</v>
      </c>
      <c r="I6" s="202" t="s">
        <v>166</v>
      </c>
      <c r="J6" s="223" t="str">
        <f t="shared" ref="J6" si="2">A6&amp;B6</f>
        <v>GoldABC Refinery Pty Ltd.</v>
      </c>
      <c r="K6" s="223" t="str">
        <f t="shared" ref="K6" si="3">A6&amp;B6</f>
        <v>GoldABC Refinery Pty Ltd.</v>
      </c>
    </row>
    <row r="7" spans="1:11" ht="13.5" customHeight="1">
      <c r="A7" s="202" t="s">
        <v>134</v>
      </c>
      <c r="B7" s="202" t="s">
        <v>167</v>
      </c>
      <c r="C7" s="202" t="s">
        <v>167</v>
      </c>
      <c r="D7" s="202" t="s">
        <v>168</v>
      </c>
      <c r="E7" s="202" t="s">
        <v>169</v>
      </c>
      <c r="F7" s="202" t="s">
        <v>159</v>
      </c>
      <c r="G7" s="202"/>
      <c r="H7" s="202" t="s">
        <v>170</v>
      </c>
      <c r="I7" s="202" t="s">
        <v>171</v>
      </c>
      <c r="J7" s="223" t="str">
        <f t="shared" ref="J7:J70" si="4">A7&amp;B7</f>
        <v>GoldAbington Reldan Metals, LLC</v>
      </c>
      <c r="K7" s="223" t="str">
        <f t="shared" ref="K7:K70" si="5">A7&amp;B7</f>
        <v>GoldAbington Reldan Metals, LLC</v>
      </c>
    </row>
    <row r="8" spans="1:11" ht="13.5" customHeight="1">
      <c r="A8" s="202" t="s">
        <v>134</v>
      </c>
      <c r="B8" s="202" t="s">
        <v>172</v>
      </c>
      <c r="C8" s="202" t="s">
        <v>172</v>
      </c>
      <c r="D8" s="202" t="s">
        <v>168</v>
      </c>
      <c r="E8" s="202" t="s">
        <v>173</v>
      </c>
      <c r="F8" s="202" t="s">
        <v>159</v>
      </c>
      <c r="G8" s="202"/>
      <c r="H8" s="202" t="s">
        <v>174</v>
      </c>
      <c r="I8" s="202" t="s">
        <v>175</v>
      </c>
      <c r="J8" s="223" t="str">
        <f t="shared" si="4"/>
        <v>GoldAdvanced Chemical Company</v>
      </c>
      <c r="K8" s="223" t="str">
        <f t="shared" si="5"/>
        <v>GoldAdvanced Chemical Company</v>
      </c>
    </row>
    <row r="9" spans="1:11" ht="13.5" customHeight="1">
      <c r="A9" s="202" t="s">
        <v>134</v>
      </c>
      <c r="B9" s="202" t="s">
        <v>176</v>
      </c>
      <c r="C9" s="202" t="s">
        <v>176</v>
      </c>
      <c r="D9" s="202" t="s">
        <v>177</v>
      </c>
      <c r="E9" s="202" t="s">
        <v>178</v>
      </c>
      <c r="F9" s="202" t="s">
        <v>159</v>
      </c>
      <c r="G9" s="202"/>
      <c r="H9" s="202" t="s">
        <v>179</v>
      </c>
      <c r="I9" s="202" t="s">
        <v>180</v>
      </c>
      <c r="J9" s="223" t="str">
        <f t="shared" si="4"/>
        <v>GoldAfrican Gold Refinery</v>
      </c>
      <c r="K9" s="223" t="str">
        <f t="shared" si="5"/>
        <v>GoldAfrican Gold Refinery</v>
      </c>
    </row>
    <row r="10" spans="1:11" ht="13.5" customHeight="1">
      <c r="A10" s="202" t="s">
        <v>134</v>
      </c>
      <c r="B10" s="202" t="s">
        <v>181</v>
      </c>
      <c r="C10" s="202" t="s">
        <v>181</v>
      </c>
      <c r="D10" s="202" t="s">
        <v>182</v>
      </c>
      <c r="E10" s="202" t="s">
        <v>183</v>
      </c>
      <c r="F10" s="202" t="s">
        <v>159</v>
      </c>
      <c r="G10" s="202"/>
      <c r="H10" s="202" t="s">
        <v>184</v>
      </c>
      <c r="I10" s="202" t="s">
        <v>185</v>
      </c>
      <c r="J10" s="223" t="str">
        <f t="shared" si="4"/>
        <v>GoldAgosi AG</v>
      </c>
      <c r="K10" s="223" t="str">
        <f t="shared" si="5"/>
        <v>GoldAgosi AG</v>
      </c>
    </row>
    <row r="11" spans="1:11" ht="13.5" customHeight="1">
      <c r="A11" s="202" t="s">
        <v>134</v>
      </c>
      <c r="B11" s="202" t="s">
        <v>186</v>
      </c>
      <c r="C11" s="202" t="s">
        <v>187</v>
      </c>
      <c r="D11" s="202" t="s">
        <v>163</v>
      </c>
      <c r="E11" s="202" t="s">
        <v>188</v>
      </c>
      <c r="F11" s="202" t="s">
        <v>159</v>
      </c>
      <c r="G11" s="202"/>
      <c r="H11" s="202" t="s">
        <v>189</v>
      </c>
      <c r="I11" s="202" t="s">
        <v>190</v>
      </c>
      <c r="J11" s="223" t="str">
        <f t="shared" si="4"/>
        <v>GoldAGR (Perth Mint Australia)</v>
      </c>
      <c r="K11" s="223" t="str">
        <f t="shared" si="5"/>
        <v>GoldAGR (Perth Mint Australia)</v>
      </c>
    </row>
    <row r="12" spans="1:11">
      <c r="A12" s="202" t="s">
        <v>134</v>
      </c>
      <c r="B12" s="202" t="s">
        <v>191</v>
      </c>
      <c r="C12" s="202" t="s">
        <v>187</v>
      </c>
      <c r="D12" s="202" t="s">
        <v>163</v>
      </c>
      <c r="E12" s="202" t="s">
        <v>188</v>
      </c>
      <c r="F12" s="202" t="s">
        <v>159</v>
      </c>
      <c r="G12" s="202"/>
      <c r="H12" s="202" t="s">
        <v>189</v>
      </c>
      <c r="I12" s="202" t="s">
        <v>190</v>
      </c>
      <c r="J12" s="223" t="str">
        <f t="shared" si="4"/>
        <v>GoldAGR Mathey</v>
      </c>
      <c r="K12" s="223" t="str">
        <f t="shared" si="5"/>
        <v>GoldAGR Mathey</v>
      </c>
    </row>
    <row r="13" spans="1:11">
      <c r="A13" s="202" t="s">
        <v>134</v>
      </c>
      <c r="B13" s="202" t="s">
        <v>192</v>
      </c>
      <c r="C13" s="202" t="s">
        <v>192</v>
      </c>
      <c r="D13" s="202" t="s">
        <v>193</v>
      </c>
      <c r="E13" s="202" t="s">
        <v>194</v>
      </c>
      <c r="F13" s="202" t="s">
        <v>159</v>
      </c>
      <c r="G13" s="202"/>
      <c r="H13" s="202" t="s">
        <v>195</v>
      </c>
      <c r="I13" s="202" t="s">
        <v>196</v>
      </c>
      <c r="J13" s="223" t="str">
        <f t="shared" si="4"/>
        <v>GoldAida Chemical Industries Co., Ltd.</v>
      </c>
      <c r="K13" s="223" t="str">
        <f t="shared" si="5"/>
        <v>GoldAida Chemical Industries Co., Ltd.</v>
      </c>
    </row>
    <row r="14" spans="1:11">
      <c r="A14" s="202" t="s">
        <v>134</v>
      </c>
      <c r="B14" s="202" t="s">
        <v>197</v>
      </c>
      <c r="C14" s="202" t="s">
        <v>198</v>
      </c>
      <c r="D14" s="202" t="s">
        <v>193</v>
      </c>
      <c r="E14" s="202" t="s">
        <v>199</v>
      </c>
      <c r="F14" s="202" t="s">
        <v>159</v>
      </c>
      <c r="G14" s="202"/>
      <c r="H14" s="202" t="s">
        <v>200</v>
      </c>
      <c r="I14" s="202" t="s">
        <v>201</v>
      </c>
      <c r="J14" s="223" t="str">
        <f t="shared" si="4"/>
        <v>GoldAKITA Seiren</v>
      </c>
      <c r="K14" s="223" t="str">
        <f t="shared" si="5"/>
        <v>GoldAKITA Seiren</v>
      </c>
    </row>
    <row r="15" spans="1:11">
      <c r="A15" s="202" t="s">
        <v>134</v>
      </c>
      <c r="B15" s="202" t="s">
        <v>202</v>
      </c>
      <c r="C15" s="202" t="s">
        <v>203</v>
      </c>
      <c r="D15" s="202" t="s">
        <v>204</v>
      </c>
      <c r="E15" s="202" t="s">
        <v>205</v>
      </c>
      <c r="F15" s="202" t="s">
        <v>159</v>
      </c>
      <c r="G15" s="202"/>
      <c r="H15" s="202" t="s">
        <v>206</v>
      </c>
      <c r="I15" s="202" t="s">
        <v>207</v>
      </c>
      <c r="J15" s="223" t="str">
        <f t="shared" si="4"/>
        <v>GoldAl Etihad Gold LLC</v>
      </c>
      <c r="K15" s="223" t="str">
        <f t="shared" si="5"/>
        <v>GoldAl Etihad Gold LLC</v>
      </c>
    </row>
    <row r="16" spans="1:11">
      <c r="A16" s="202" t="s">
        <v>134</v>
      </c>
      <c r="B16" s="202" t="s">
        <v>203</v>
      </c>
      <c r="C16" s="202" t="s">
        <v>203</v>
      </c>
      <c r="D16" s="202" t="s">
        <v>204</v>
      </c>
      <c r="E16" s="202" t="s">
        <v>205</v>
      </c>
      <c r="F16" s="202" t="s">
        <v>159</v>
      </c>
      <c r="G16" s="202"/>
      <c r="H16" s="202" t="s">
        <v>206</v>
      </c>
      <c r="I16" s="202" t="s">
        <v>207</v>
      </c>
      <c r="J16" s="223" t="str">
        <f t="shared" si="4"/>
        <v>GoldAl Etihad Gold Refinery DMCC</v>
      </c>
      <c r="K16" s="223" t="str">
        <f t="shared" si="5"/>
        <v>GoldAl Etihad Gold Refinery DMCC</v>
      </c>
    </row>
    <row r="17" spans="1:11">
      <c r="A17" s="202" t="s">
        <v>134</v>
      </c>
      <c r="B17" s="202" t="s">
        <v>208</v>
      </c>
      <c r="C17" s="202" t="s">
        <v>208</v>
      </c>
      <c r="D17" s="202" t="s">
        <v>209</v>
      </c>
      <c r="E17" s="202" t="s">
        <v>210</v>
      </c>
      <c r="F17" s="202" t="s">
        <v>159</v>
      </c>
      <c r="G17" s="202"/>
      <c r="H17" s="202" t="s">
        <v>211</v>
      </c>
      <c r="I17" s="202" t="s">
        <v>212</v>
      </c>
      <c r="J17" s="223" t="str">
        <f t="shared" si="4"/>
        <v>GoldAlbino Mountinho Lda.</v>
      </c>
      <c r="K17" s="223" t="str">
        <f t="shared" si="5"/>
        <v>GoldAlbino Mountinho Lda.</v>
      </c>
    </row>
    <row r="18" spans="1:11">
      <c r="A18" s="202" t="s">
        <v>134</v>
      </c>
      <c r="B18" s="202" t="s">
        <v>213</v>
      </c>
      <c r="C18" s="202" t="s">
        <v>213</v>
      </c>
      <c r="D18" s="202" t="s">
        <v>168</v>
      </c>
      <c r="E18" s="202" t="s">
        <v>214</v>
      </c>
      <c r="F18" s="202" t="s">
        <v>159</v>
      </c>
      <c r="G18" s="202"/>
      <c r="H18" s="202" t="s">
        <v>215</v>
      </c>
      <c r="I18" s="202" t="s">
        <v>216</v>
      </c>
      <c r="J18" s="223" t="str">
        <f t="shared" si="4"/>
        <v>GoldAlexy Metals</v>
      </c>
      <c r="K18" s="223" t="str">
        <f t="shared" si="5"/>
        <v>GoldAlexy Metals</v>
      </c>
    </row>
    <row r="19" spans="1:11">
      <c r="A19" s="202" t="s">
        <v>134</v>
      </c>
      <c r="B19" s="202" t="s">
        <v>217</v>
      </c>
      <c r="C19" s="202" t="s">
        <v>181</v>
      </c>
      <c r="D19" s="202" t="s">
        <v>182</v>
      </c>
      <c r="E19" s="202" t="s">
        <v>183</v>
      </c>
      <c r="F19" s="202" t="s">
        <v>159</v>
      </c>
      <c r="G19" s="202"/>
      <c r="H19" s="202" t="s">
        <v>184</v>
      </c>
      <c r="I19" s="202" t="s">
        <v>185</v>
      </c>
      <c r="J19" s="223" t="str">
        <f t="shared" si="4"/>
        <v>GoldAllgemeine Gold-und Silberscheideanstalt A.G.</v>
      </c>
      <c r="K19" s="223" t="str">
        <f t="shared" si="5"/>
        <v>GoldAllgemeine Gold-und Silberscheideanstalt A.G.</v>
      </c>
    </row>
    <row r="20" spans="1:11">
      <c r="A20" s="202" t="s">
        <v>134</v>
      </c>
      <c r="B20" s="202" t="s">
        <v>218</v>
      </c>
      <c r="C20" s="202" t="s">
        <v>218</v>
      </c>
      <c r="D20" s="202" t="s">
        <v>219</v>
      </c>
      <c r="E20" s="202" t="s">
        <v>220</v>
      </c>
      <c r="F20" s="202" t="s">
        <v>159</v>
      </c>
      <c r="G20" s="202"/>
      <c r="H20" s="202" t="s">
        <v>221</v>
      </c>
      <c r="I20" s="202" t="s">
        <v>222</v>
      </c>
      <c r="J20" s="223" t="str">
        <f t="shared" si="4"/>
        <v>GoldAlmalyk Mining and Metallurgical Complex (AMMC)</v>
      </c>
      <c r="K20" s="223" t="str">
        <f t="shared" si="5"/>
        <v>GoldAlmalyk Mining and Metallurgical Complex (AMMC)</v>
      </c>
    </row>
    <row r="21" spans="1:11">
      <c r="A21" s="202" t="s">
        <v>134</v>
      </c>
      <c r="B21" s="202" t="s">
        <v>223</v>
      </c>
      <c r="C21" s="202" t="s">
        <v>224</v>
      </c>
      <c r="D21" s="202" t="s">
        <v>193</v>
      </c>
      <c r="E21" s="202" t="s">
        <v>225</v>
      </c>
      <c r="F21" s="202" t="s">
        <v>159</v>
      </c>
      <c r="G21" s="202"/>
      <c r="H21" s="202" t="s">
        <v>226</v>
      </c>
      <c r="I21" s="202" t="s">
        <v>227</v>
      </c>
      <c r="J21" s="223" t="str">
        <f t="shared" si="4"/>
        <v>GoldAmagasaki Factory, Hyogo Prefecture, Japan</v>
      </c>
      <c r="K21" s="223" t="str">
        <f t="shared" si="5"/>
        <v>GoldAmagasaki Factory, Hyogo Prefecture, Japan</v>
      </c>
    </row>
    <row r="22" spans="1:11">
      <c r="A22" s="202" t="s">
        <v>134</v>
      </c>
      <c r="B22" s="202" t="s">
        <v>228</v>
      </c>
      <c r="C22" s="202" t="s">
        <v>229</v>
      </c>
      <c r="D22" s="202" t="s">
        <v>230</v>
      </c>
      <c r="E22" s="202" t="s">
        <v>231</v>
      </c>
      <c r="F22" s="202" t="s">
        <v>159</v>
      </c>
      <c r="G22" s="202"/>
      <c r="H22" s="202" t="s">
        <v>232</v>
      </c>
      <c r="I22" s="202" t="s">
        <v>233</v>
      </c>
      <c r="J22" s="223" t="str">
        <f t="shared" si="4"/>
        <v>GoldAngloGold Ashanti Brazil</v>
      </c>
      <c r="K22" s="223" t="str">
        <f t="shared" si="5"/>
        <v>GoldAngloGold Ashanti Brazil</v>
      </c>
    </row>
    <row r="23" spans="1:11">
      <c r="A23" s="202" t="s">
        <v>134</v>
      </c>
      <c r="B23" s="202" t="s">
        <v>229</v>
      </c>
      <c r="C23" s="202" t="s">
        <v>229</v>
      </c>
      <c r="D23" s="202" t="s">
        <v>230</v>
      </c>
      <c r="E23" s="202" t="s">
        <v>231</v>
      </c>
      <c r="F23" s="202" t="s">
        <v>159</v>
      </c>
      <c r="G23" s="202"/>
      <c r="H23" s="202" t="s">
        <v>232</v>
      </c>
      <c r="I23" s="202" t="s">
        <v>233</v>
      </c>
      <c r="J23" s="223" t="str">
        <f t="shared" si="4"/>
        <v>GoldAngloGold Ashanti Corrego do Sitio Mineracao</v>
      </c>
      <c r="K23" s="223" t="str">
        <f t="shared" si="5"/>
        <v>GoldAngloGold Ashanti Corrego do Sitio Mineracao</v>
      </c>
    </row>
    <row r="24" spans="1:11">
      <c r="A24" s="202" t="s">
        <v>134</v>
      </c>
      <c r="B24" s="202" t="s">
        <v>234</v>
      </c>
      <c r="C24" s="202" t="s">
        <v>229</v>
      </c>
      <c r="D24" s="202" t="s">
        <v>230</v>
      </c>
      <c r="E24" s="202" t="s">
        <v>231</v>
      </c>
      <c r="F24" s="202" t="s">
        <v>159</v>
      </c>
      <c r="G24" s="202"/>
      <c r="H24" s="202" t="s">
        <v>232</v>
      </c>
      <c r="I24" s="202" t="s">
        <v>233</v>
      </c>
      <c r="J24" s="223" t="str">
        <f t="shared" si="4"/>
        <v>GoldAngloGold Ashanti Córrego do Sítio Mineração</v>
      </c>
      <c r="K24" s="223" t="str">
        <f t="shared" si="5"/>
        <v>GoldAngloGold Ashanti Córrego do Sítio Mineração</v>
      </c>
    </row>
    <row r="25" spans="1:11">
      <c r="A25" s="202" t="s">
        <v>134</v>
      </c>
      <c r="B25" s="202" t="s">
        <v>235</v>
      </c>
      <c r="C25" s="202" t="s">
        <v>236</v>
      </c>
      <c r="D25" s="202" t="s">
        <v>237</v>
      </c>
      <c r="E25" s="202" t="s">
        <v>238</v>
      </c>
      <c r="F25" s="202" t="s">
        <v>159</v>
      </c>
      <c r="G25" s="202"/>
      <c r="H25" s="202" t="s">
        <v>239</v>
      </c>
      <c r="I25" s="202" t="s">
        <v>240</v>
      </c>
      <c r="J25" s="223" t="str">
        <f t="shared" si="4"/>
        <v>GoldAnhui Tongling Nonferrous Metal Mining Co., Ltd.</v>
      </c>
      <c r="K25" s="223" t="str">
        <f t="shared" si="5"/>
        <v>GoldAnhui Tongling Nonferrous Metal Mining Co., Ltd.</v>
      </c>
    </row>
    <row r="26" spans="1:11">
      <c r="A26" s="202" t="s">
        <v>134</v>
      </c>
      <c r="B26" s="202" t="s">
        <v>241</v>
      </c>
      <c r="C26" s="202" t="s">
        <v>187</v>
      </c>
      <c r="D26" s="202" t="s">
        <v>163</v>
      </c>
      <c r="E26" s="202" t="s">
        <v>188</v>
      </c>
      <c r="F26" s="202" t="s">
        <v>159</v>
      </c>
      <c r="G26" s="202"/>
      <c r="H26" s="202" t="s">
        <v>189</v>
      </c>
      <c r="I26" s="202" t="s">
        <v>190</v>
      </c>
      <c r="J26" s="223" t="str">
        <f t="shared" si="4"/>
        <v>GoldANZ (Perth Mint 4N)</v>
      </c>
      <c r="K26" s="223" t="str">
        <f t="shared" si="5"/>
        <v>GoldANZ (Perth Mint 4N)</v>
      </c>
    </row>
    <row r="27" spans="1:11">
      <c r="A27" s="202" t="s">
        <v>134</v>
      </c>
      <c r="B27" s="202" t="s">
        <v>242</v>
      </c>
      <c r="C27" s="202" t="s">
        <v>187</v>
      </c>
      <c r="D27" s="202" t="s">
        <v>163</v>
      </c>
      <c r="E27" s="202" t="s">
        <v>188</v>
      </c>
      <c r="F27" s="202" t="s">
        <v>159</v>
      </c>
      <c r="G27" s="202"/>
      <c r="H27" s="202" t="s">
        <v>189</v>
      </c>
      <c r="I27" s="202" t="s">
        <v>190</v>
      </c>
      <c r="J27" s="223" t="str">
        <f t="shared" si="4"/>
        <v>GoldANZ Bank</v>
      </c>
      <c r="K27" s="223" t="str">
        <f t="shared" si="5"/>
        <v>GoldANZ Bank</v>
      </c>
    </row>
    <row r="28" spans="1:11">
      <c r="A28" s="202" t="s">
        <v>134</v>
      </c>
      <c r="B28" s="202" t="s">
        <v>243</v>
      </c>
      <c r="C28" s="202" t="s">
        <v>243</v>
      </c>
      <c r="D28" s="202" t="s">
        <v>244</v>
      </c>
      <c r="E28" s="202" t="s">
        <v>245</v>
      </c>
      <c r="F28" s="202" t="s">
        <v>159</v>
      </c>
      <c r="G28" s="202"/>
      <c r="H28" s="202" t="s">
        <v>246</v>
      </c>
      <c r="I28" s="202" t="s">
        <v>247</v>
      </c>
      <c r="J28" s="223" t="str">
        <f t="shared" si="4"/>
        <v>GoldArgor-Heraeus S.A.</v>
      </c>
      <c r="K28" s="223" t="str">
        <f t="shared" si="5"/>
        <v>GoldArgor-Heraeus S.A.</v>
      </c>
    </row>
    <row r="29" spans="1:11">
      <c r="A29" s="202" t="s">
        <v>134</v>
      </c>
      <c r="B29" s="202" t="s">
        <v>224</v>
      </c>
      <c r="C29" s="202" t="s">
        <v>224</v>
      </c>
      <c r="D29" s="202" t="s">
        <v>193</v>
      </c>
      <c r="E29" s="202" t="s">
        <v>225</v>
      </c>
      <c r="F29" s="202" t="s">
        <v>159</v>
      </c>
      <c r="G29" s="202"/>
      <c r="H29" s="202" t="s">
        <v>226</v>
      </c>
      <c r="I29" s="202" t="s">
        <v>227</v>
      </c>
      <c r="J29" s="223" t="str">
        <f t="shared" si="4"/>
        <v>GoldAsahi Pretec Corp.</v>
      </c>
      <c r="K29" s="223" t="str">
        <f t="shared" si="5"/>
        <v>GoldAsahi Pretec Corp.</v>
      </c>
    </row>
    <row r="30" spans="1:11">
      <c r="A30" s="202" t="s">
        <v>134</v>
      </c>
      <c r="B30" s="202" t="s">
        <v>248</v>
      </c>
      <c r="C30" s="202" t="s">
        <v>248</v>
      </c>
      <c r="D30" s="202" t="s">
        <v>249</v>
      </c>
      <c r="E30" s="202" t="s">
        <v>250</v>
      </c>
      <c r="F30" s="202" t="s">
        <v>159</v>
      </c>
      <c r="G30" s="202"/>
      <c r="H30" s="202" t="s">
        <v>251</v>
      </c>
      <c r="I30" s="202" t="s">
        <v>252</v>
      </c>
      <c r="J30" s="223" t="str">
        <f t="shared" si="4"/>
        <v>GoldAsahi Refining Canada Ltd.</v>
      </c>
      <c r="K30" s="223" t="str">
        <f t="shared" si="5"/>
        <v>GoldAsahi Refining Canada Ltd.</v>
      </c>
    </row>
    <row r="31" spans="1:11">
      <c r="A31" s="202" t="s">
        <v>134</v>
      </c>
      <c r="B31" s="202" t="s">
        <v>253</v>
      </c>
      <c r="C31" s="202" t="s">
        <v>253</v>
      </c>
      <c r="D31" s="202" t="s">
        <v>168</v>
      </c>
      <c r="E31" s="202" t="s">
        <v>254</v>
      </c>
      <c r="F31" s="202" t="s">
        <v>159</v>
      </c>
      <c r="G31" s="202"/>
      <c r="H31" s="202" t="s">
        <v>255</v>
      </c>
      <c r="I31" s="202" t="s">
        <v>256</v>
      </c>
      <c r="J31" s="223" t="str">
        <f t="shared" si="4"/>
        <v>GoldAsahi Refining USA Inc.</v>
      </c>
      <c r="K31" s="223" t="str">
        <f t="shared" si="5"/>
        <v>GoldAsahi Refining USA Inc.</v>
      </c>
    </row>
    <row r="32" spans="1:11">
      <c r="A32" s="202" t="s">
        <v>134</v>
      </c>
      <c r="B32" s="202" t="s">
        <v>257</v>
      </c>
      <c r="C32" s="202" t="s">
        <v>257</v>
      </c>
      <c r="D32" s="202" t="s">
        <v>193</v>
      </c>
      <c r="E32" s="202" t="s">
        <v>258</v>
      </c>
      <c r="F32" s="202" t="s">
        <v>159</v>
      </c>
      <c r="G32" s="202"/>
      <c r="H32" s="202" t="s">
        <v>259</v>
      </c>
      <c r="I32" s="202" t="s">
        <v>260</v>
      </c>
      <c r="J32" s="223" t="str">
        <f t="shared" si="4"/>
        <v>GoldAsaka Riken Co., Ltd.</v>
      </c>
      <c r="K32" s="223" t="str">
        <f t="shared" si="5"/>
        <v>GoldAsaka Riken Co., Ltd.</v>
      </c>
    </row>
    <row r="33" spans="1:11">
      <c r="A33" s="202" t="s">
        <v>134</v>
      </c>
      <c r="B33" s="202" t="s">
        <v>261</v>
      </c>
      <c r="C33" s="202" t="s">
        <v>262</v>
      </c>
      <c r="D33" s="202" t="s">
        <v>263</v>
      </c>
      <c r="E33" s="202" t="s">
        <v>264</v>
      </c>
      <c r="F33" s="202" t="s">
        <v>159</v>
      </c>
      <c r="G33" s="202"/>
      <c r="H33" s="202" t="s">
        <v>265</v>
      </c>
      <c r="I33" s="202" t="s">
        <v>266</v>
      </c>
      <c r="J33" s="223" t="str">
        <f t="shared" si="4"/>
        <v>GoldATAkulche</v>
      </c>
      <c r="K33" s="223" t="str">
        <f t="shared" si="5"/>
        <v>GoldATAkulche</v>
      </c>
    </row>
    <row r="34" spans="1:11">
      <c r="A34" s="202" t="s">
        <v>134</v>
      </c>
      <c r="B34" s="202" t="s">
        <v>262</v>
      </c>
      <c r="C34" s="202" t="s">
        <v>262</v>
      </c>
      <c r="D34" s="202" t="s">
        <v>263</v>
      </c>
      <c r="E34" s="202" t="s">
        <v>264</v>
      </c>
      <c r="F34" s="202" t="s">
        <v>159</v>
      </c>
      <c r="G34" s="202"/>
      <c r="H34" s="202" t="s">
        <v>265</v>
      </c>
      <c r="I34" s="202" t="s">
        <v>266</v>
      </c>
      <c r="J34" s="223" t="str">
        <f t="shared" si="4"/>
        <v>GoldAtasay Kuyumculuk Sanayi Ve Ticaret A.S.</v>
      </c>
      <c r="K34" s="223" t="str">
        <f t="shared" si="5"/>
        <v>GoldAtasay Kuyumculuk Sanayi Ve Ticaret A.S.</v>
      </c>
    </row>
    <row r="35" spans="1:11">
      <c r="A35" s="202" t="s">
        <v>134</v>
      </c>
      <c r="B35" s="202" t="s">
        <v>267</v>
      </c>
      <c r="C35" s="202" t="s">
        <v>267</v>
      </c>
      <c r="D35" s="202" t="s">
        <v>268</v>
      </c>
      <c r="E35" s="202" t="s">
        <v>269</v>
      </c>
      <c r="F35" s="202" t="s">
        <v>159</v>
      </c>
      <c r="G35" s="202"/>
      <c r="H35" s="202" t="s">
        <v>270</v>
      </c>
      <c r="I35" s="202" t="s">
        <v>271</v>
      </c>
      <c r="J35" s="223" t="str">
        <f t="shared" si="4"/>
        <v>GoldAU Traders and Refiners</v>
      </c>
      <c r="K35" s="223" t="str">
        <f t="shared" si="5"/>
        <v>GoldAU Traders and Refiners</v>
      </c>
    </row>
    <row r="36" spans="1:11">
      <c r="A36" s="202" t="s">
        <v>134</v>
      </c>
      <c r="B36" s="202" t="s">
        <v>272</v>
      </c>
      <c r="C36" s="202" t="s">
        <v>272</v>
      </c>
      <c r="D36" s="202" t="s">
        <v>273</v>
      </c>
      <c r="E36" s="202" t="s">
        <v>274</v>
      </c>
      <c r="F36" s="202" t="s">
        <v>159</v>
      </c>
      <c r="G36" s="202"/>
      <c r="H36" s="202" t="s">
        <v>275</v>
      </c>
      <c r="I36" s="202" t="s">
        <v>276</v>
      </c>
      <c r="J36" s="223" t="str">
        <f t="shared" si="4"/>
        <v>GoldAugmont Enterprises Private Limited</v>
      </c>
      <c r="K36" s="223" t="str">
        <f t="shared" si="5"/>
        <v>GoldAugmont Enterprises Private Limited</v>
      </c>
    </row>
    <row r="37" spans="1:11">
      <c r="A37" s="202" t="s">
        <v>134</v>
      </c>
      <c r="B37" s="202" t="s">
        <v>277</v>
      </c>
      <c r="C37" s="202" t="s">
        <v>277</v>
      </c>
      <c r="D37" s="202" t="s">
        <v>182</v>
      </c>
      <c r="E37" s="202" t="s">
        <v>278</v>
      </c>
      <c r="F37" s="202" t="s">
        <v>159</v>
      </c>
      <c r="G37" s="202"/>
      <c r="H37" s="202" t="s">
        <v>279</v>
      </c>
      <c r="I37" s="202" t="s">
        <v>279</v>
      </c>
      <c r="J37" s="223" t="str">
        <f t="shared" si="4"/>
        <v>GoldAurubis AG</v>
      </c>
      <c r="K37" s="223" t="str">
        <f t="shared" si="5"/>
        <v>GoldAurubis AG</v>
      </c>
    </row>
    <row r="38" spans="1:11">
      <c r="A38" s="202" t="s">
        <v>134</v>
      </c>
      <c r="B38" s="202" t="s">
        <v>280</v>
      </c>
      <c r="C38" s="202" t="s">
        <v>281</v>
      </c>
      <c r="D38" s="202" t="s">
        <v>273</v>
      </c>
      <c r="E38" s="202" t="s">
        <v>282</v>
      </c>
      <c r="F38" s="202" t="s">
        <v>159</v>
      </c>
      <c r="G38" s="202"/>
      <c r="H38" s="202" t="s">
        <v>283</v>
      </c>
      <c r="I38" s="202" t="s">
        <v>284</v>
      </c>
      <c r="J38" s="223" t="str">
        <f t="shared" si="4"/>
        <v>GoldBALORE REFINERSGA</v>
      </c>
      <c r="K38" s="223" t="str">
        <f t="shared" si="5"/>
        <v>GoldBALORE REFINERSGA</v>
      </c>
    </row>
    <row r="39" spans="1:11">
      <c r="A39" s="202" t="s">
        <v>134</v>
      </c>
      <c r="B39" s="202" t="s">
        <v>281</v>
      </c>
      <c r="C39" s="202" t="s">
        <v>281</v>
      </c>
      <c r="D39" s="202" t="s">
        <v>273</v>
      </c>
      <c r="E39" s="202" t="s">
        <v>282</v>
      </c>
      <c r="F39" s="202" t="s">
        <v>159</v>
      </c>
      <c r="G39" s="202"/>
      <c r="H39" s="202" t="s">
        <v>283</v>
      </c>
      <c r="I39" s="202" t="s">
        <v>284</v>
      </c>
      <c r="J39" s="223" t="str">
        <f t="shared" si="4"/>
        <v>GoldBangalore Refinery</v>
      </c>
      <c r="K39" s="223" t="str">
        <f t="shared" si="5"/>
        <v>GoldBangalore Refinery</v>
      </c>
    </row>
    <row r="40" spans="1:11">
      <c r="A40" s="202" t="s">
        <v>134</v>
      </c>
      <c r="B40" s="202" t="s">
        <v>285</v>
      </c>
      <c r="C40" s="202" t="s">
        <v>281</v>
      </c>
      <c r="D40" s="202" t="s">
        <v>273</v>
      </c>
      <c r="E40" s="202" t="s">
        <v>282</v>
      </c>
      <c r="F40" s="202" t="s">
        <v>159</v>
      </c>
      <c r="G40" s="202"/>
      <c r="H40" s="202" t="s">
        <v>283</v>
      </c>
      <c r="I40" s="202" t="s">
        <v>284</v>
      </c>
      <c r="J40" s="223" t="str">
        <f t="shared" si="4"/>
        <v>GoldBangalore Refinery Pvt Ltd</v>
      </c>
      <c r="K40" s="223" t="str">
        <f t="shared" si="5"/>
        <v>GoldBangalore Refinery Pvt Ltd</v>
      </c>
    </row>
    <row r="41" spans="1:11">
      <c r="A41" s="202" t="s">
        <v>134</v>
      </c>
      <c r="B41" s="202" t="s">
        <v>286</v>
      </c>
      <c r="C41" s="202" t="s">
        <v>286</v>
      </c>
      <c r="D41" s="202" t="s">
        <v>287</v>
      </c>
      <c r="E41" s="202" t="s">
        <v>288</v>
      </c>
      <c r="F41" s="202" t="s">
        <v>159</v>
      </c>
      <c r="G41" s="202"/>
      <c r="H41" s="202" t="s">
        <v>289</v>
      </c>
      <c r="I41" s="202" t="s">
        <v>290</v>
      </c>
      <c r="J41" s="223" t="str">
        <f t="shared" si="4"/>
        <v>GoldBangko Sentral ng Pilipinas (Central Bank of the Philippines)</v>
      </c>
      <c r="K41" s="223" t="str">
        <f t="shared" si="5"/>
        <v>GoldBangko Sentral ng Pilipinas (Central Bank of the Philippines)</v>
      </c>
    </row>
    <row r="42" spans="1:11">
      <c r="A42" s="202" t="s">
        <v>134</v>
      </c>
      <c r="B42" s="202" t="s">
        <v>291</v>
      </c>
      <c r="C42" s="202" t="s">
        <v>291</v>
      </c>
      <c r="D42" s="202" t="s">
        <v>292</v>
      </c>
      <c r="E42" s="202" t="s">
        <v>293</v>
      </c>
      <c r="F42" s="202" t="s">
        <v>159</v>
      </c>
      <c r="G42" s="202"/>
      <c r="H42" s="202" t="s">
        <v>294</v>
      </c>
      <c r="I42" s="202" t="s">
        <v>295</v>
      </c>
      <c r="J42" s="223" t="str">
        <f t="shared" si="4"/>
        <v>GoldBoliden AB</v>
      </c>
      <c r="K42" s="223" t="str">
        <f t="shared" si="5"/>
        <v>GoldBoliden AB</v>
      </c>
    </row>
    <row r="43" spans="1:11">
      <c r="A43" s="202" t="s">
        <v>134</v>
      </c>
      <c r="B43" s="202" t="s">
        <v>296</v>
      </c>
      <c r="C43" s="202" t="s">
        <v>296</v>
      </c>
      <c r="D43" s="202" t="s">
        <v>182</v>
      </c>
      <c r="E43" s="202" t="s">
        <v>297</v>
      </c>
      <c r="F43" s="202" t="s">
        <v>159</v>
      </c>
      <c r="G43" s="202"/>
      <c r="H43" s="202" t="s">
        <v>184</v>
      </c>
      <c r="I43" s="202" t="s">
        <v>185</v>
      </c>
      <c r="J43" s="223" t="str">
        <f t="shared" si="4"/>
        <v>GoldC. Hafner GmbH + Co. KG</v>
      </c>
      <c r="K43" s="223" t="str">
        <f t="shared" si="5"/>
        <v>GoldC. Hafner GmbH + Co. KG</v>
      </c>
    </row>
    <row r="44" spans="1:11">
      <c r="A44" s="202" t="s">
        <v>134</v>
      </c>
      <c r="B44" s="202" t="s">
        <v>298</v>
      </c>
      <c r="C44" s="202" t="s">
        <v>298</v>
      </c>
      <c r="D44" s="202" t="s">
        <v>299</v>
      </c>
      <c r="E44" s="202" t="s">
        <v>300</v>
      </c>
      <c r="F44" s="202" t="s">
        <v>159</v>
      </c>
      <c r="G44" s="202"/>
      <c r="H44" s="202" t="s">
        <v>301</v>
      </c>
      <c r="I44" s="202" t="s">
        <v>302</v>
      </c>
      <c r="J44" s="223" t="str">
        <f t="shared" si="4"/>
        <v>GoldC.I Metales Procesados Industriales SAS</v>
      </c>
      <c r="K44" s="223" t="str">
        <f t="shared" si="5"/>
        <v>GoldC.I Metales Procesados Industriales SAS</v>
      </c>
    </row>
    <row r="45" spans="1:11">
      <c r="A45" s="202" t="s">
        <v>134</v>
      </c>
      <c r="B45" s="202" t="s">
        <v>303</v>
      </c>
      <c r="C45" s="202" t="s">
        <v>303</v>
      </c>
      <c r="D45" s="202" t="s">
        <v>304</v>
      </c>
      <c r="E45" s="202" t="s">
        <v>305</v>
      </c>
      <c r="F45" s="202" t="s">
        <v>159</v>
      </c>
      <c r="G45" s="202"/>
      <c r="H45" s="202" t="s">
        <v>306</v>
      </c>
      <c r="I45" s="202" t="s">
        <v>307</v>
      </c>
      <c r="J45" s="223" t="str">
        <f t="shared" si="4"/>
        <v>GoldCaridad</v>
      </c>
      <c r="K45" s="223" t="str">
        <f t="shared" si="5"/>
        <v>GoldCaridad</v>
      </c>
    </row>
    <row r="46" spans="1:11">
      <c r="A46" s="202" t="s">
        <v>134</v>
      </c>
      <c r="B46" s="202" t="s">
        <v>308</v>
      </c>
      <c r="C46" s="202" t="s">
        <v>309</v>
      </c>
      <c r="D46" s="202" t="s">
        <v>249</v>
      </c>
      <c r="E46" s="202" t="s">
        <v>310</v>
      </c>
      <c r="F46" s="202" t="s">
        <v>159</v>
      </c>
      <c r="G46" s="202"/>
      <c r="H46" s="202" t="s">
        <v>311</v>
      </c>
      <c r="I46" s="202" t="s">
        <v>312</v>
      </c>
      <c r="J46" s="223" t="str">
        <f t="shared" si="4"/>
        <v>GoldCCR</v>
      </c>
      <c r="K46" s="223" t="str">
        <f t="shared" si="5"/>
        <v>GoldCCR</v>
      </c>
    </row>
    <row r="47" spans="1:11">
      <c r="A47" s="202" t="s">
        <v>134</v>
      </c>
      <c r="B47" s="202" t="s">
        <v>309</v>
      </c>
      <c r="C47" s="202" t="s">
        <v>309</v>
      </c>
      <c r="D47" s="202" t="s">
        <v>249</v>
      </c>
      <c r="E47" s="202" t="s">
        <v>310</v>
      </c>
      <c r="F47" s="202" t="s">
        <v>159</v>
      </c>
      <c r="G47" s="202"/>
      <c r="H47" s="202" t="s">
        <v>311</v>
      </c>
      <c r="I47" s="202" t="s">
        <v>312</v>
      </c>
      <c r="J47" s="223" t="str">
        <f t="shared" si="4"/>
        <v>GoldCCR Refinery - Glencore Canada Corporation</v>
      </c>
      <c r="K47" s="223" t="str">
        <f t="shared" si="5"/>
        <v>GoldCCR Refinery - Glencore Canada Corporation</v>
      </c>
    </row>
    <row r="48" spans="1:11">
      <c r="A48" s="202" t="s">
        <v>134</v>
      </c>
      <c r="B48" s="202" t="s">
        <v>313</v>
      </c>
      <c r="C48" s="202" t="s">
        <v>314</v>
      </c>
      <c r="D48" s="202" t="s">
        <v>244</v>
      </c>
      <c r="E48" s="202" t="s">
        <v>315</v>
      </c>
      <c r="F48" s="202" t="s">
        <v>159</v>
      </c>
      <c r="G48" s="202"/>
      <c r="H48" s="202" t="s">
        <v>316</v>
      </c>
      <c r="I48" s="202" t="s">
        <v>317</v>
      </c>
      <c r="J48" s="223" t="str">
        <f t="shared" si="4"/>
        <v>GoldCendres + M?taux SA</v>
      </c>
      <c r="K48" s="223" t="str">
        <f t="shared" si="5"/>
        <v>GoldCendres + M?taux SA</v>
      </c>
    </row>
    <row r="49" spans="1:11">
      <c r="A49" s="202" t="s">
        <v>134</v>
      </c>
      <c r="B49" s="202" t="s">
        <v>314</v>
      </c>
      <c r="C49" s="202" t="s">
        <v>314</v>
      </c>
      <c r="D49" s="202" t="s">
        <v>244</v>
      </c>
      <c r="E49" s="202" t="s">
        <v>315</v>
      </c>
      <c r="F49" s="202" t="s">
        <v>159</v>
      </c>
      <c r="G49" s="202"/>
      <c r="H49" s="202" t="s">
        <v>316</v>
      </c>
      <c r="I49" s="202" t="s">
        <v>317</v>
      </c>
      <c r="J49" s="223" t="str">
        <f t="shared" si="4"/>
        <v>GoldCendres + Metaux S.A.</v>
      </c>
      <c r="K49" s="223" t="str">
        <f t="shared" si="5"/>
        <v>GoldCendres + Metaux S.A.</v>
      </c>
    </row>
    <row r="50" spans="1:11">
      <c r="A50" s="202" t="s">
        <v>134</v>
      </c>
      <c r="B50" s="202" t="s">
        <v>318</v>
      </c>
      <c r="C50" s="202" t="s">
        <v>314</v>
      </c>
      <c r="D50" s="202" t="s">
        <v>244</v>
      </c>
      <c r="E50" s="202" t="s">
        <v>315</v>
      </c>
      <c r="F50" s="202" t="s">
        <v>159</v>
      </c>
      <c r="G50" s="202"/>
      <c r="H50" s="202" t="s">
        <v>316</v>
      </c>
      <c r="I50" s="202" t="s">
        <v>317</v>
      </c>
      <c r="J50" s="223" t="str">
        <f t="shared" si="4"/>
        <v>GoldCendres + Métaux S.A.</v>
      </c>
      <c r="K50" s="223" t="str">
        <f t="shared" si="5"/>
        <v>GoldCendres + Métaux S.A.</v>
      </c>
    </row>
    <row r="51" spans="1:11">
      <c r="A51" s="202" t="s">
        <v>134</v>
      </c>
      <c r="B51" s="202" t="s">
        <v>319</v>
      </c>
      <c r="C51" s="202" t="s">
        <v>286</v>
      </c>
      <c r="D51" s="202" t="s">
        <v>287</v>
      </c>
      <c r="E51" s="202" t="s">
        <v>288</v>
      </c>
      <c r="F51" s="202" t="s">
        <v>159</v>
      </c>
      <c r="G51" s="202"/>
      <c r="H51" s="202" t="s">
        <v>289</v>
      </c>
      <c r="I51" s="202" t="s">
        <v>290</v>
      </c>
      <c r="J51" s="223" t="str">
        <f t="shared" si="4"/>
        <v>GoldCentral Bank of the Philippines Gold Refinery &amp; Mint</v>
      </c>
      <c r="K51" s="223" t="str">
        <f t="shared" si="5"/>
        <v>GoldCentral Bank of the Philippines Gold Refinery &amp; Mint</v>
      </c>
    </row>
    <row r="52" spans="1:11">
      <c r="A52" s="202" t="s">
        <v>134</v>
      </c>
      <c r="B52" s="202" t="s">
        <v>320</v>
      </c>
      <c r="C52" s="202" t="s">
        <v>320</v>
      </c>
      <c r="D52" s="202" t="s">
        <v>273</v>
      </c>
      <c r="E52" s="202" t="s">
        <v>321</v>
      </c>
      <c r="F52" s="202" t="s">
        <v>159</v>
      </c>
      <c r="G52" s="202"/>
      <c r="H52" s="202" t="s">
        <v>322</v>
      </c>
      <c r="I52" s="202" t="s">
        <v>323</v>
      </c>
      <c r="J52" s="223" t="str">
        <f t="shared" si="4"/>
        <v>GoldCGR Metalloys Pvt Ltd.</v>
      </c>
      <c r="K52" s="223" t="str">
        <f t="shared" si="5"/>
        <v>GoldCGR Metalloys Pvt Ltd.</v>
      </c>
    </row>
    <row r="53" spans="1:11">
      <c r="A53" s="202" t="s">
        <v>134</v>
      </c>
      <c r="B53" s="202" t="s">
        <v>324</v>
      </c>
      <c r="C53" s="202" t="s">
        <v>325</v>
      </c>
      <c r="D53" s="202" t="s">
        <v>237</v>
      </c>
      <c r="E53" s="202" t="s">
        <v>326</v>
      </c>
      <c r="F53" s="202" t="s">
        <v>159</v>
      </c>
      <c r="G53" s="202"/>
      <c r="H53" s="202" t="s">
        <v>327</v>
      </c>
      <c r="I53" s="202" t="s">
        <v>328</v>
      </c>
      <c r="J53" s="223" t="str">
        <f t="shared" si="4"/>
        <v>GoldCHALCO Yunnan Copper Co. Ltd.</v>
      </c>
      <c r="K53" s="223" t="str">
        <f t="shared" si="5"/>
        <v>GoldCHALCO Yunnan Copper Co. Ltd.</v>
      </c>
    </row>
    <row r="54" spans="1:11">
      <c r="A54" s="202" t="s">
        <v>134</v>
      </c>
      <c r="B54" s="202" t="s">
        <v>329</v>
      </c>
      <c r="C54" s="202" t="s">
        <v>320</v>
      </c>
      <c r="D54" s="202" t="s">
        <v>273</v>
      </c>
      <c r="E54" s="202" t="s">
        <v>321</v>
      </c>
      <c r="F54" s="202" t="s">
        <v>159</v>
      </c>
      <c r="G54" s="202"/>
      <c r="H54" s="202" t="s">
        <v>322</v>
      </c>
      <c r="I54" s="202" t="s">
        <v>323</v>
      </c>
      <c r="J54" s="223" t="str">
        <f t="shared" si="4"/>
        <v>GoldChemmanur Gold Refinery</v>
      </c>
      <c r="K54" s="223" t="str">
        <f t="shared" si="5"/>
        <v>GoldChemmanur Gold Refinery</v>
      </c>
    </row>
    <row r="55" spans="1:11">
      <c r="A55" s="202" t="s">
        <v>134</v>
      </c>
      <c r="B55" s="202" t="s">
        <v>330</v>
      </c>
      <c r="C55" s="202" t="s">
        <v>330</v>
      </c>
      <c r="D55" s="202" t="s">
        <v>157</v>
      </c>
      <c r="E55" s="202" t="s">
        <v>331</v>
      </c>
      <c r="F55" s="202" t="s">
        <v>159</v>
      </c>
      <c r="G55" s="202"/>
      <c r="H55" s="202" t="s">
        <v>332</v>
      </c>
      <c r="I55" s="202" t="s">
        <v>333</v>
      </c>
      <c r="J55" s="223" t="str">
        <f t="shared" si="4"/>
        <v>GoldChimet S.p.A.</v>
      </c>
      <c r="K55" s="223" t="str">
        <f t="shared" si="5"/>
        <v>GoldChimet S.p.A.</v>
      </c>
    </row>
    <row r="56" spans="1:11">
      <c r="A56" s="202" t="s">
        <v>134</v>
      </c>
      <c r="B56" s="202" t="s">
        <v>334</v>
      </c>
      <c r="C56" s="202" t="s">
        <v>335</v>
      </c>
      <c r="D56" s="202" t="s">
        <v>237</v>
      </c>
      <c r="E56" s="202" t="s">
        <v>336</v>
      </c>
      <c r="F56" s="202" t="s">
        <v>159</v>
      </c>
      <c r="G56" s="202"/>
      <c r="H56" s="202" t="s">
        <v>337</v>
      </c>
      <c r="I56" s="202" t="s">
        <v>338</v>
      </c>
      <c r="J56" s="223" t="str">
        <f t="shared" si="4"/>
        <v>GoldChina Henan Zhongyuan Gold Smelter</v>
      </c>
      <c r="K56" s="223" t="str">
        <f t="shared" si="5"/>
        <v>GoldChina Henan Zhongyuan Gold Smelter</v>
      </c>
    </row>
    <row r="57" spans="1:11">
      <c r="A57" s="202" t="s">
        <v>134</v>
      </c>
      <c r="B57" s="202" t="s">
        <v>339</v>
      </c>
      <c r="C57" s="202" t="s">
        <v>340</v>
      </c>
      <c r="D57" s="202" t="s">
        <v>237</v>
      </c>
      <c r="E57" s="202" t="s">
        <v>341</v>
      </c>
      <c r="F57" s="202" t="s">
        <v>159</v>
      </c>
      <c r="G57" s="202"/>
      <c r="H57" s="202" t="s">
        <v>342</v>
      </c>
      <c r="I57" s="202" t="s">
        <v>343</v>
      </c>
      <c r="J57" s="223" t="str">
        <f t="shared" si="4"/>
        <v>GoldChina's Shandong Gold Mining Co., Ltd</v>
      </c>
      <c r="K57" s="223" t="str">
        <f t="shared" si="5"/>
        <v>GoldChina's Shandong Gold Mining Co., Ltd</v>
      </c>
    </row>
    <row r="58" spans="1:11">
      <c r="A58" s="202" t="s">
        <v>134</v>
      </c>
      <c r="B58" s="202" t="s">
        <v>344</v>
      </c>
      <c r="C58" s="202" t="s">
        <v>344</v>
      </c>
      <c r="D58" s="202" t="s">
        <v>193</v>
      </c>
      <c r="E58" s="202" t="s">
        <v>345</v>
      </c>
      <c r="F58" s="202" t="s">
        <v>159</v>
      </c>
      <c r="G58" s="202"/>
      <c r="H58" s="202" t="s">
        <v>346</v>
      </c>
      <c r="I58" s="202" t="s">
        <v>196</v>
      </c>
      <c r="J58" s="223" t="str">
        <f t="shared" si="4"/>
        <v>GoldChugai Mining</v>
      </c>
      <c r="K58" s="223" t="str">
        <f t="shared" si="5"/>
        <v>GoldChugai Mining</v>
      </c>
    </row>
    <row r="59" spans="1:11">
      <c r="A59" s="202" t="s">
        <v>134</v>
      </c>
      <c r="B59" s="202" t="s">
        <v>347</v>
      </c>
      <c r="C59" s="202" t="s">
        <v>347</v>
      </c>
      <c r="D59" s="202" t="s">
        <v>230</v>
      </c>
      <c r="E59" s="202" t="s">
        <v>348</v>
      </c>
      <c r="F59" s="202" t="s">
        <v>159</v>
      </c>
      <c r="G59" s="202"/>
      <c r="H59" s="202" t="s">
        <v>349</v>
      </c>
      <c r="I59" s="202" t="s">
        <v>350</v>
      </c>
      <c r="J59" s="223" t="str">
        <f t="shared" si="4"/>
        <v>GoldCoimpa Industrial LTDA</v>
      </c>
      <c r="K59" s="223" t="str">
        <f t="shared" si="5"/>
        <v>GoldCoimpa Industrial LTDA</v>
      </c>
    </row>
    <row r="60" spans="1:11">
      <c r="A60" s="202" t="s">
        <v>134</v>
      </c>
      <c r="B60" s="202" t="s">
        <v>351</v>
      </c>
      <c r="C60" s="202" t="s">
        <v>351</v>
      </c>
      <c r="D60" s="202" t="s">
        <v>237</v>
      </c>
      <c r="E60" s="202" t="s">
        <v>352</v>
      </c>
      <c r="F60" s="202" t="s">
        <v>159</v>
      </c>
      <c r="G60" s="202"/>
      <c r="H60" s="202" t="s">
        <v>353</v>
      </c>
      <c r="I60" s="202" t="s">
        <v>354</v>
      </c>
      <c r="J60" s="223" t="str">
        <f t="shared" si="4"/>
        <v>GoldDaye Non-Ferrous Metals Mining Ltd.</v>
      </c>
      <c r="K60" s="223" t="str">
        <f t="shared" si="5"/>
        <v>GoldDaye Non-Ferrous Metals Mining Ltd.</v>
      </c>
    </row>
    <row r="61" spans="1:11">
      <c r="A61" s="202" t="s">
        <v>134</v>
      </c>
      <c r="B61" s="202" t="s">
        <v>355</v>
      </c>
      <c r="C61" s="202" t="s">
        <v>356</v>
      </c>
      <c r="D61" s="202" t="s">
        <v>182</v>
      </c>
      <c r="E61" s="202" t="s">
        <v>357</v>
      </c>
      <c r="F61" s="202" t="s">
        <v>159</v>
      </c>
      <c r="G61" s="202"/>
      <c r="H61" s="202" t="s">
        <v>184</v>
      </c>
      <c r="I61" s="202" t="s">
        <v>185</v>
      </c>
      <c r="J61" s="223" t="str">
        <f t="shared" si="4"/>
        <v>GoldDEGUSSA</v>
      </c>
      <c r="K61" s="223" t="str">
        <f t="shared" si="5"/>
        <v>GoldDEGUSSA</v>
      </c>
    </row>
    <row r="62" spans="1:11">
      <c r="A62" s="202" t="s">
        <v>134</v>
      </c>
      <c r="B62" s="202" t="s">
        <v>356</v>
      </c>
      <c r="C62" s="202" t="s">
        <v>356</v>
      </c>
      <c r="D62" s="202" t="s">
        <v>182</v>
      </c>
      <c r="E62" s="202" t="s">
        <v>357</v>
      </c>
      <c r="F62" s="202" t="s">
        <v>159</v>
      </c>
      <c r="G62" s="202"/>
      <c r="H62" s="202" t="s">
        <v>184</v>
      </c>
      <c r="I62" s="202" t="s">
        <v>185</v>
      </c>
      <c r="J62" s="223" t="str">
        <f t="shared" si="4"/>
        <v>GoldDegussa Sonne / Mond Goldhandel GmbH</v>
      </c>
      <c r="K62" s="223" t="str">
        <f t="shared" si="5"/>
        <v>GoldDegussa Sonne / Mond Goldhandel GmbH</v>
      </c>
    </row>
    <row r="63" spans="1:11">
      <c r="A63" s="202" t="s">
        <v>134</v>
      </c>
      <c r="B63" s="202" t="s">
        <v>358</v>
      </c>
      <c r="C63" s="202" t="s">
        <v>358</v>
      </c>
      <c r="D63" s="202" t="s">
        <v>204</v>
      </c>
      <c r="E63" s="202" t="s">
        <v>359</v>
      </c>
      <c r="F63" s="202" t="s">
        <v>159</v>
      </c>
      <c r="G63" s="202"/>
      <c r="H63" s="202" t="s">
        <v>360</v>
      </c>
      <c r="I63" s="202" t="s">
        <v>361</v>
      </c>
      <c r="J63" s="223" t="str">
        <f t="shared" si="4"/>
        <v>GoldDijllah Gold Refinery FZC</v>
      </c>
      <c r="K63" s="223" t="str">
        <f t="shared" si="5"/>
        <v>GoldDijllah Gold Refinery FZC</v>
      </c>
    </row>
    <row r="64" spans="1:11">
      <c r="A64" s="202" t="s">
        <v>134</v>
      </c>
      <c r="B64" s="202" t="s">
        <v>362</v>
      </c>
      <c r="C64" s="202" t="s">
        <v>363</v>
      </c>
      <c r="D64" s="202" t="s">
        <v>364</v>
      </c>
      <c r="E64" s="202" t="s">
        <v>365</v>
      </c>
      <c r="F64" s="202" t="s">
        <v>159</v>
      </c>
      <c r="G64" s="202"/>
      <c r="H64" s="202" t="s">
        <v>366</v>
      </c>
      <c r="I64" s="202" t="s">
        <v>367</v>
      </c>
      <c r="J64" s="223" t="str">
        <f t="shared" si="4"/>
        <v>GoldDo Sung Corporation</v>
      </c>
      <c r="K64" s="223" t="str">
        <f t="shared" si="5"/>
        <v>GoldDo Sung Corporation</v>
      </c>
    </row>
    <row r="65" spans="1:11">
      <c r="A65" s="202" t="s">
        <v>134</v>
      </c>
      <c r="B65" s="202" t="s">
        <v>368</v>
      </c>
      <c r="C65" s="202" t="s">
        <v>368</v>
      </c>
      <c r="D65" s="202" t="s">
        <v>237</v>
      </c>
      <c r="E65" s="202" t="s">
        <v>369</v>
      </c>
      <c r="F65" s="202" t="s">
        <v>159</v>
      </c>
      <c r="G65" s="202"/>
      <c r="H65" s="202" t="s">
        <v>370</v>
      </c>
      <c r="I65" s="202" t="s">
        <v>371</v>
      </c>
      <c r="J65" s="223" t="str">
        <f t="shared" si="4"/>
        <v>GoldDongwu Gold Group</v>
      </c>
      <c r="K65" s="223" t="str">
        <f t="shared" si="5"/>
        <v>GoldDongwu Gold Group</v>
      </c>
    </row>
    <row r="66" spans="1:11">
      <c r="A66" s="202" t="s">
        <v>134</v>
      </c>
      <c r="B66" s="202" t="s">
        <v>372</v>
      </c>
      <c r="C66" s="202" t="s">
        <v>363</v>
      </c>
      <c r="D66" s="202" t="s">
        <v>364</v>
      </c>
      <c r="E66" s="202" t="s">
        <v>365</v>
      </c>
      <c r="F66" s="202" t="s">
        <v>159</v>
      </c>
      <c r="G66" s="202"/>
      <c r="H66" s="202" t="s">
        <v>366</v>
      </c>
      <c r="I66" s="202" t="s">
        <v>367</v>
      </c>
      <c r="J66" s="223" t="str">
        <f t="shared" si="4"/>
        <v>GoldDosung metal</v>
      </c>
      <c r="K66" s="223" t="str">
        <f t="shared" si="5"/>
        <v>GoldDosung metal</v>
      </c>
    </row>
    <row r="67" spans="1:11">
      <c r="A67" s="202" t="s">
        <v>134</v>
      </c>
      <c r="B67" s="202" t="s">
        <v>198</v>
      </c>
      <c r="C67" s="202" t="s">
        <v>198</v>
      </c>
      <c r="D67" s="202" t="s">
        <v>193</v>
      </c>
      <c r="E67" s="202" t="s">
        <v>199</v>
      </c>
      <c r="F67" s="202" t="s">
        <v>159</v>
      </c>
      <c r="G67" s="202"/>
      <c r="H67" s="202" t="s">
        <v>200</v>
      </c>
      <c r="I67" s="202" t="s">
        <v>201</v>
      </c>
      <c r="J67" s="223" t="str">
        <f t="shared" si="4"/>
        <v>GoldDowa</v>
      </c>
      <c r="K67" s="223" t="str">
        <f t="shared" si="5"/>
        <v>GoldDowa</v>
      </c>
    </row>
    <row r="68" spans="1:11">
      <c r="A68" s="202" t="s">
        <v>134</v>
      </c>
      <c r="B68" s="202" t="s">
        <v>373</v>
      </c>
      <c r="C68" s="202" t="s">
        <v>198</v>
      </c>
      <c r="D68" s="202" t="s">
        <v>193</v>
      </c>
      <c r="E68" s="202" t="s">
        <v>199</v>
      </c>
      <c r="F68" s="202" t="s">
        <v>159</v>
      </c>
      <c r="G68" s="202"/>
      <c r="H68" s="202" t="s">
        <v>200</v>
      </c>
      <c r="I68" s="202" t="s">
        <v>201</v>
      </c>
      <c r="J68" s="223" t="str">
        <f t="shared" si="4"/>
        <v>GoldDowa Kogyo k.k.</v>
      </c>
      <c r="K68" s="223" t="str">
        <f t="shared" si="5"/>
        <v>GoldDowa Kogyo k.k.</v>
      </c>
    </row>
    <row r="69" spans="1:11">
      <c r="A69" s="202" t="s">
        <v>134</v>
      </c>
      <c r="B69" s="202" t="s">
        <v>374</v>
      </c>
      <c r="C69" s="202" t="s">
        <v>198</v>
      </c>
      <c r="D69" s="202" t="s">
        <v>193</v>
      </c>
      <c r="E69" s="202" t="s">
        <v>199</v>
      </c>
      <c r="F69" s="202" t="s">
        <v>159</v>
      </c>
      <c r="G69" s="202"/>
      <c r="H69" s="202" t="s">
        <v>200</v>
      </c>
      <c r="I69" s="202" t="s">
        <v>201</v>
      </c>
      <c r="J69" s="223" t="str">
        <f t="shared" si="4"/>
        <v>GoldDowa Metalmine Co. Ltd</v>
      </c>
      <c r="K69" s="223" t="str">
        <f t="shared" si="5"/>
        <v>GoldDowa Metalmine Co. Ltd</v>
      </c>
    </row>
    <row r="70" spans="1:11">
      <c r="A70" s="202" t="s">
        <v>134</v>
      </c>
      <c r="B70" s="202" t="s">
        <v>375</v>
      </c>
      <c r="C70" s="202" t="s">
        <v>198</v>
      </c>
      <c r="D70" s="202" t="s">
        <v>193</v>
      </c>
      <c r="E70" s="202" t="s">
        <v>199</v>
      </c>
      <c r="F70" s="202" t="s">
        <v>159</v>
      </c>
      <c r="G70" s="202"/>
      <c r="H70" s="202" t="s">
        <v>200</v>
      </c>
      <c r="I70" s="202" t="s">
        <v>201</v>
      </c>
      <c r="J70" s="223" t="str">
        <f t="shared" si="4"/>
        <v>GoldDowa Metals &amp; Mining Co. Ltd</v>
      </c>
      <c r="K70" s="223" t="str">
        <f t="shared" si="5"/>
        <v>GoldDowa Metals &amp; Mining Co. Ltd</v>
      </c>
    </row>
    <row r="71" spans="1:11">
      <c r="A71" s="202" t="s">
        <v>134</v>
      </c>
      <c r="B71" s="202" t="s">
        <v>363</v>
      </c>
      <c r="C71" s="202" t="s">
        <v>363</v>
      </c>
      <c r="D71" s="202" t="s">
        <v>364</v>
      </c>
      <c r="E71" s="202" t="s">
        <v>365</v>
      </c>
      <c r="F71" s="202" t="s">
        <v>159</v>
      </c>
      <c r="G71" s="202"/>
      <c r="H71" s="202" t="s">
        <v>366</v>
      </c>
      <c r="I71" s="202" t="s">
        <v>367</v>
      </c>
      <c r="J71" s="223" t="str">
        <f t="shared" ref="J71:J134" si="6">A71&amp;B71</f>
        <v>GoldDSC (Do Sung Corporation)</v>
      </c>
      <c r="K71" s="223" t="str">
        <f t="shared" ref="K71:K134" si="7">A71&amp;B71</f>
        <v>GoldDSC (Do Sung Corporation)</v>
      </c>
    </row>
    <row r="72" spans="1:11">
      <c r="A72" s="202" t="s">
        <v>134</v>
      </c>
      <c r="B72" s="202" t="s">
        <v>376</v>
      </c>
      <c r="C72" s="202" t="s">
        <v>376</v>
      </c>
      <c r="D72" s="202" t="s">
        <v>193</v>
      </c>
      <c r="E72" s="202" t="s">
        <v>377</v>
      </c>
      <c r="F72" s="202" t="s">
        <v>159</v>
      </c>
      <c r="G72" s="202"/>
      <c r="H72" s="202" t="s">
        <v>378</v>
      </c>
      <c r="I72" s="202" t="s">
        <v>379</v>
      </c>
      <c r="J72" s="223" t="str">
        <f t="shared" si="6"/>
        <v>GoldEco-System Recycling Co., Ltd. East Plant</v>
      </c>
      <c r="K72" s="223" t="str">
        <f t="shared" si="7"/>
        <v>GoldEco-System Recycling Co., Ltd. East Plant</v>
      </c>
    </row>
    <row r="73" spans="1:11">
      <c r="A73" s="202" t="s">
        <v>134</v>
      </c>
      <c r="B73" s="202" t="s">
        <v>380</v>
      </c>
      <c r="C73" s="202" t="s">
        <v>380</v>
      </c>
      <c r="D73" s="202" t="s">
        <v>193</v>
      </c>
      <c r="E73" s="202" t="s">
        <v>381</v>
      </c>
      <c r="F73" s="202" t="s">
        <v>159</v>
      </c>
      <c r="G73" s="202"/>
      <c r="H73" s="202" t="s">
        <v>382</v>
      </c>
      <c r="I73" s="202" t="s">
        <v>201</v>
      </c>
      <c r="J73" s="223" t="str">
        <f t="shared" si="6"/>
        <v>GoldEco-System Recycling Co., Ltd. North Plant</v>
      </c>
      <c r="K73" s="223" t="str">
        <f t="shared" si="7"/>
        <v>GoldEco-System Recycling Co., Ltd. North Plant</v>
      </c>
    </row>
    <row r="74" spans="1:11">
      <c r="A74" s="202" t="s">
        <v>134</v>
      </c>
      <c r="B74" s="202" t="s">
        <v>383</v>
      </c>
      <c r="C74" s="202" t="s">
        <v>383</v>
      </c>
      <c r="D74" s="202" t="s">
        <v>193</v>
      </c>
      <c r="E74" s="202" t="s">
        <v>384</v>
      </c>
      <c r="F74" s="202" t="s">
        <v>159</v>
      </c>
      <c r="G74" s="202"/>
      <c r="H74" s="202" t="s">
        <v>385</v>
      </c>
      <c r="I74" s="202" t="s">
        <v>385</v>
      </c>
      <c r="J74" s="223" t="str">
        <f t="shared" si="6"/>
        <v>GoldEco-System Recycling Co., Ltd. West Plant</v>
      </c>
      <c r="K74" s="223" t="str">
        <f t="shared" si="7"/>
        <v>GoldEco-System Recycling Co., Ltd. West Plant</v>
      </c>
    </row>
    <row r="75" spans="1:11">
      <c r="A75" s="202" t="s">
        <v>134</v>
      </c>
      <c r="B75" s="202" t="s">
        <v>386</v>
      </c>
      <c r="C75" s="202" t="s">
        <v>387</v>
      </c>
      <c r="D75" s="202" t="s">
        <v>388</v>
      </c>
      <c r="E75" s="202" t="s">
        <v>389</v>
      </c>
      <c r="F75" s="202" t="s">
        <v>159</v>
      </c>
      <c r="G75" s="202"/>
      <c r="H75" s="202" t="s">
        <v>390</v>
      </c>
      <c r="I75" s="202" t="s">
        <v>391</v>
      </c>
      <c r="J75" s="223" t="str">
        <f t="shared" si="6"/>
        <v>GoldEkaterinburg</v>
      </c>
      <c r="K75" s="223" t="str">
        <f t="shared" si="7"/>
        <v>GoldEkaterinburg</v>
      </c>
    </row>
    <row r="76" spans="1:11">
      <c r="A76" s="202" t="s">
        <v>134</v>
      </c>
      <c r="B76" s="202" t="s">
        <v>392</v>
      </c>
      <c r="C76" s="202" t="s">
        <v>392</v>
      </c>
      <c r="D76" s="202" t="s">
        <v>273</v>
      </c>
      <c r="E76" s="202" t="s">
        <v>393</v>
      </c>
      <c r="F76" s="202" t="s">
        <v>159</v>
      </c>
      <c r="G76" s="202"/>
      <c r="H76" s="202" t="s">
        <v>394</v>
      </c>
      <c r="I76" s="202" t="s">
        <v>395</v>
      </c>
      <c r="J76" s="223" t="str">
        <f t="shared" si="6"/>
        <v>GoldEmerald Jewel Industry India Limited (Unit 1)</v>
      </c>
      <c r="K76" s="223" t="str">
        <f t="shared" si="7"/>
        <v>GoldEmerald Jewel Industry India Limited (Unit 1)</v>
      </c>
    </row>
    <row r="77" spans="1:11">
      <c r="A77" s="202" t="s">
        <v>134</v>
      </c>
      <c r="B77" s="202" t="s">
        <v>396</v>
      </c>
      <c r="C77" s="202" t="s">
        <v>396</v>
      </c>
      <c r="D77" s="202" t="s">
        <v>273</v>
      </c>
      <c r="E77" s="202" t="s">
        <v>397</v>
      </c>
      <c r="F77" s="202" t="s">
        <v>159</v>
      </c>
      <c r="G77" s="202"/>
      <c r="H77" s="202" t="s">
        <v>394</v>
      </c>
      <c r="I77" s="202" t="s">
        <v>395</v>
      </c>
      <c r="J77" s="223" t="str">
        <f t="shared" si="6"/>
        <v>GoldEmerald Jewel Industry India Limited (Unit 2)</v>
      </c>
      <c r="K77" s="223" t="str">
        <f t="shared" si="7"/>
        <v>GoldEmerald Jewel Industry India Limited (Unit 2)</v>
      </c>
    </row>
    <row r="78" spans="1:11">
      <c r="A78" s="202" t="s">
        <v>134</v>
      </c>
      <c r="B78" s="202" t="s">
        <v>398</v>
      </c>
      <c r="C78" s="202" t="s">
        <v>398</v>
      </c>
      <c r="D78" s="202" t="s">
        <v>273</v>
      </c>
      <c r="E78" s="202" t="s">
        <v>399</v>
      </c>
      <c r="F78" s="202" t="s">
        <v>159</v>
      </c>
      <c r="G78" s="202"/>
      <c r="H78" s="202" t="s">
        <v>394</v>
      </c>
      <c r="I78" s="202" t="s">
        <v>395</v>
      </c>
      <c r="J78" s="223" t="str">
        <f t="shared" si="6"/>
        <v>GoldEmerald Jewel Industry India Limited (Unit 3)</v>
      </c>
      <c r="K78" s="223" t="str">
        <f t="shared" si="7"/>
        <v>GoldEmerald Jewel Industry India Limited (Unit 3)</v>
      </c>
    </row>
    <row r="79" spans="1:11">
      <c r="A79" s="202" t="s">
        <v>134</v>
      </c>
      <c r="B79" s="202" t="s">
        <v>400</v>
      </c>
      <c r="C79" s="202" t="s">
        <v>400</v>
      </c>
      <c r="D79" s="202" t="s">
        <v>273</v>
      </c>
      <c r="E79" s="202" t="s">
        <v>401</v>
      </c>
      <c r="F79" s="202" t="s">
        <v>159</v>
      </c>
      <c r="G79" s="202"/>
      <c r="H79" s="202" t="s">
        <v>394</v>
      </c>
      <c r="I79" s="202" t="s">
        <v>395</v>
      </c>
      <c r="J79" s="223" t="str">
        <f t="shared" si="6"/>
        <v>GoldEmerald Jewel Industry India Limited (Unit 4)</v>
      </c>
      <c r="K79" s="223" t="str">
        <f t="shared" si="7"/>
        <v>GoldEmerald Jewel Industry India Limited (Unit 4)</v>
      </c>
    </row>
    <row r="80" spans="1:11">
      <c r="A80" s="202" t="s">
        <v>134</v>
      </c>
      <c r="B80" s="202" t="s">
        <v>402</v>
      </c>
      <c r="C80" s="202" t="s">
        <v>402</v>
      </c>
      <c r="D80" s="202" t="s">
        <v>204</v>
      </c>
      <c r="E80" s="202" t="s">
        <v>403</v>
      </c>
      <c r="F80" s="202" t="s">
        <v>159</v>
      </c>
      <c r="G80" s="202"/>
      <c r="H80" s="202" t="s">
        <v>206</v>
      </c>
      <c r="I80" s="202" t="s">
        <v>207</v>
      </c>
      <c r="J80" s="223" t="str">
        <f t="shared" si="6"/>
        <v>GoldEmirates Gold DMCC</v>
      </c>
      <c r="K80" s="223" t="str">
        <f t="shared" si="7"/>
        <v>GoldEmirates Gold DMCC</v>
      </c>
    </row>
    <row r="81" spans="1:11">
      <c r="A81" s="202" t="s">
        <v>134</v>
      </c>
      <c r="B81" s="202" t="s">
        <v>404</v>
      </c>
      <c r="C81" s="202" t="s">
        <v>405</v>
      </c>
      <c r="D81" s="202" t="s">
        <v>388</v>
      </c>
      <c r="E81" s="202" t="s">
        <v>406</v>
      </c>
      <c r="F81" s="202" t="s">
        <v>159</v>
      </c>
      <c r="G81" s="202"/>
      <c r="H81" s="202" t="s">
        <v>407</v>
      </c>
      <c r="I81" s="202" t="s">
        <v>408</v>
      </c>
      <c r="J81" s="223" t="str">
        <f t="shared" si="6"/>
        <v>GoldFederal State Unitary Enterprise Moscow Special Processing Plant (FSUE MZSS)</v>
      </c>
      <c r="K81" s="223" t="str">
        <f t="shared" si="7"/>
        <v>GoldFederal State Unitary Enterprise Moscow Special Processing Plant (FSUE MZSS)</v>
      </c>
    </row>
    <row r="82" spans="1:11">
      <c r="A82" s="202" t="s">
        <v>134</v>
      </c>
      <c r="B82" s="202" t="s">
        <v>409</v>
      </c>
      <c r="C82" s="202" t="s">
        <v>409</v>
      </c>
      <c r="D82" s="202" t="s">
        <v>410</v>
      </c>
      <c r="E82" s="202" t="s">
        <v>411</v>
      </c>
      <c r="F82" s="202" t="s">
        <v>159</v>
      </c>
      <c r="G82" s="202"/>
      <c r="H82" s="202" t="s">
        <v>412</v>
      </c>
      <c r="I82" s="202" t="s">
        <v>413</v>
      </c>
      <c r="J82" s="223" t="str">
        <f t="shared" si="6"/>
        <v>GoldFidelity Printers and Refiners Ltd.</v>
      </c>
      <c r="K82" s="223" t="str">
        <f t="shared" si="7"/>
        <v>GoldFidelity Printers and Refiners Ltd.</v>
      </c>
    </row>
    <row r="83" spans="1:11">
      <c r="A83" s="202" t="s">
        <v>134</v>
      </c>
      <c r="B83" s="202" t="s">
        <v>414</v>
      </c>
      <c r="C83" s="202" t="s">
        <v>415</v>
      </c>
      <c r="D83" s="202" t="s">
        <v>388</v>
      </c>
      <c r="E83" s="202" t="s">
        <v>416</v>
      </c>
      <c r="F83" s="202" t="s">
        <v>159</v>
      </c>
      <c r="G83" s="202"/>
      <c r="H83" s="202" t="s">
        <v>417</v>
      </c>
      <c r="I83" s="202" t="s">
        <v>418</v>
      </c>
      <c r="J83" s="223" t="str">
        <f t="shared" si="6"/>
        <v>GoldFSE Novosibirsk Refinery</v>
      </c>
      <c r="K83" s="223" t="str">
        <f t="shared" si="7"/>
        <v>GoldFSE Novosibirsk Refinery</v>
      </c>
    </row>
    <row r="84" spans="1:11">
      <c r="A84" s="202" t="s">
        <v>134</v>
      </c>
      <c r="B84" s="202" t="s">
        <v>419</v>
      </c>
      <c r="C84" s="202" t="s">
        <v>419</v>
      </c>
      <c r="D84" s="202" t="s">
        <v>204</v>
      </c>
      <c r="E84" s="202" t="s">
        <v>420</v>
      </c>
      <c r="F84" s="202" t="s">
        <v>159</v>
      </c>
      <c r="G84" s="202"/>
      <c r="H84" s="202" t="s">
        <v>421</v>
      </c>
      <c r="I84" s="202" t="s">
        <v>422</v>
      </c>
      <c r="J84" s="223" t="str">
        <f t="shared" si="6"/>
        <v>GoldFujairah Gold FZC</v>
      </c>
      <c r="K84" s="223" t="str">
        <f t="shared" si="7"/>
        <v>GoldFujairah Gold FZC</v>
      </c>
    </row>
    <row r="85" spans="1:11">
      <c r="A85" s="202" t="s">
        <v>134</v>
      </c>
      <c r="B85" s="202" t="s">
        <v>423</v>
      </c>
      <c r="C85" s="202" t="s">
        <v>419</v>
      </c>
      <c r="D85" s="202" t="s">
        <v>204</v>
      </c>
      <c r="E85" s="202" t="s">
        <v>420</v>
      </c>
      <c r="F85" s="202" t="s">
        <v>159</v>
      </c>
      <c r="G85" s="202"/>
      <c r="H85" s="202" t="s">
        <v>421</v>
      </c>
      <c r="I85" s="202" t="s">
        <v>422</v>
      </c>
      <c r="J85" s="223" t="str">
        <f t="shared" si="6"/>
        <v>GoldFujhara Refinery</v>
      </c>
      <c r="K85" s="223" t="str">
        <f t="shared" si="7"/>
        <v>GoldFujhara Refinery</v>
      </c>
    </row>
    <row r="86" spans="1:11">
      <c r="A86" s="202" t="s">
        <v>134</v>
      </c>
      <c r="B86" s="202" t="s">
        <v>424</v>
      </c>
      <c r="C86" s="202" t="s">
        <v>425</v>
      </c>
      <c r="D86" s="202" t="s">
        <v>237</v>
      </c>
      <c r="E86" s="202" t="s">
        <v>426</v>
      </c>
      <c r="F86" s="202" t="s">
        <v>159</v>
      </c>
      <c r="G86" s="202"/>
      <c r="H86" s="202" t="s">
        <v>427</v>
      </c>
      <c r="I86" s="202" t="s">
        <v>428</v>
      </c>
      <c r="J86" s="223" t="str">
        <f t="shared" si="6"/>
        <v>GoldFujian Zijin mining stock company gold smelter</v>
      </c>
      <c r="K86" s="223" t="str">
        <f t="shared" si="7"/>
        <v>GoldFujian Zijin mining stock company gold smelter</v>
      </c>
    </row>
    <row r="87" spans="1:11">
      <c r="A87" s="202" t="s">
        <v>134</v>
      </c>
      <c r="B87" s="202" t="s">
        <v>429</v>
      </c>
      <c r="C87" s="202" t="s">
        <v>429</v>
      </c>
      <c r="D87" s="202" t="s">
        <v>168</v>
      </c>
      <c r="E87" s="202" t="s">
        <v>430</v>
      </c>
      <c r="F87" s="202" t="s">
        <v>159</v>
      </c>
      <c r="G87" s="202"/>
      <c r="H87" s="202" t="s">
        <v>174</v>
      </c>
      <c r="I87" s="202" t="s">
        <v>175</v>
      </c>
      <c r="J87" s="223" t="str">
        <f t="shared" si="6"/>
        <v>GoldGeib Refining Corporation</v>
      </c>
      <c r="K87" s="223" t="str">
        <f t="shared" si="7"/>
        <v>GoldGeib Refining Corporation</v>
      </c>
    </row>
    <row r="88" spans="1:11">
      <c r="A88" s="202" t="s">
        <v>134</v>
      </c>
      <c r="B88" s="202" t="s">
        <v>431</v>
      </c>
      <c r="C88" s="202" t="s">
        <v>431</v>
      </c>
      <c r="D88" s="202" t="s">
        <v>273</v>
      </c>
      <c r="E88" s="202" t="s">
        <v>432</v>
      </c>
      <c r="F88" s="202" t="s">
        <v>159</v>
      </c>
      <c r="G88" s="202"/>
      <c r="H88" s="202" t="s">
        <v>433</v>
      </c>
      <c r="I88" s="202" t="s">
        <v>434</v>
      </c>
      <c r="J88" s="223" t="str">
        <f t="shared" si="6"/>
        <v>GoldGGC Gujrat Gold Centre Pvt. Ltd.</v>
      </c>
      <c r="K88" s="223" t="str">
        <f t="shared" si="7"/>
        <v>GoldGGC Gujrat Gold Centre Pvt. Ltd.</v>
      </c>
    </row>
    <row r="89" spans="1:11">
      <c r="A89" s="202" t="s">
        <v>134</v>
      </c>
      <c r="B89" s="202" t="s">
        <v>435</v>
      </c>
      <c r="C89" s="202" t="s">
        <v>435</v>
      </c>
      <c r="D89" s="202" t="s">
        <v>299</v>
      </c>
      <c r="E89" s="202" t="s">
        <v>436</v>
      </c>
      <c r="F89" s="202" t="s">
        <v>159</v>
      </c>
      <c r="G89" s="202"/>
      <c r="H89" s="202" t="s">
        <v>437</v>
      </c>
      <c r="I89" s="202" t="s">
        <v>438</v>
      </c>
      <c r="J89" s="223" t="str">
        <f t="shared" si="6"/>
        <v>GoldGold by Gold Colombia</v>
      </c>
      <c r="K89" s="223" t="str">
        <f t="shared" si="7"/>
        <v>GoldGold by Gold Colombia</v>
      </c>
    </row>
    <row r="90" spans="1:11">
      <c r="A90" s="202" t="s">
        <v>134</v>
      </c>
      <c r="B90" s="202" t="s">
        <v>439</v>
      </c>
      <c r="C90" s="202" t="s">
        <v>439</v>
      </c>
      <c r="D90" s="202" t="s">
        <v>440</v>
      </c>
      <c r="E90" s="202" t="s">
        <v>441</v>
      </c>
      <c r="F90" s="202" t="s">
        <v>159</v>
      </c>
      <c r="G90" s="202"/>
      <c r="H90" s="202" t="s">
        <v>442</v>
      </c>
      <c r="I90" s="202" t="s">
        <v>443</v>
      </c>
      <c r="J90" s="223" t="str">
        <f t="shared" si="6"/>
        <v>GoldGold Coast Refinery</v>
      </c>
      <c r="K90" s="223" t="str">
        <f t="shared" si="7"/>
        <v>GoldGold Coast Refinery</v>
      </c>
    </row>
    <row r="91" spans="1:11">
      <c r="A91" s="202" t="s">
        <v>134</v>
      </c>
      <c r="B91" s="202" t="s">
        <v>444</v>
      </c>
      <c r="C91" s="202" t="s">
        <v>340</v>
      </c>
      <c r="D91" s="202" t="s">
        <v>237</v>
      </c>
      <c r="E91" s="202" t="s">
        <v>341</v>
      </c>
      <c r="F91" s="202" t="s">
        <v>159</v>
      </c>
      <c r="G91" s="202"/>
      <c r="H91" s="202" t="s">
        <v>342</v>
      </c>
      <c r="I91" s="202" t="s">
        <v>343</v>
      </c>
      <c r="J91" s="223" t="str">
        <f t="shared" si="6"/>
        <v>GoldGold Mining in Shandong (Laizhou) Limited Company</v>
      </c>
      <c r="K91" s="223" t="str">
        <f t="shared" si="7"/>
        <v>GoldGold Mining in Shandong (Laizhou) Limited Company</v>
      </c>
    </row>
    <row r="92" spans="1:11">
      <c r="A92" s="202" t="s">
        <v>134</v>
      </c>
      <c r="B92" s="202" t="s">
        <v>425</v>
      </c>
      <c r="C92" s="202" t="s">
        <v>425</v>
      </c>
      <c r="D92" s="202" t="s">
        <v>237</v>
      </c>
      <c r="E92" s="202" t="s">
        <v>426</v>
      </c>
      <c r="F92" s="202" t="s">
        <v>159</v>
      </c>
      <c r="G92" s="202"/>
      <c r="H92" s="202" t="s">
        <v>427</v>
      </c>
      <c r="I92" s="202" t="s">
        <v>428</v>
      </c>
      <c r="J92" s="223" t="str">
        <f t="shared" si="6"/>
        <v>GoldGold Refinery of Zijin Mining Group Co., Ltd.</v>
      </c>
      <c r="K92" s="223" t="str">
        <f t="shared" si="7"/>
        <v>GoldGold Refinery of Zijin Mining Group Co., Ltd.</v>
      </c>
    </row>
    <row r="93" spans="1:11">
      <c r="A93" s="202" t="s">
        <v>134</v>
      </c>
      <c r="B93" s="202" t="s">
        <v>445</v>
      </c>
      <c r="C93" s="202" t="s">
        <v>446</v>
      </c>
      <c r="D93" s="202" t="s">
        <v>237</v>
      </c>
      <c r="E93" s="202" t="s">
        <v>447</v>
      </c>
      <c r="F93" s="202" t="s">
        <v>159</v>
      </c>
      <c r="G93" s="202"/>
      <c r="H93" s="202" t="s">
        <v>448</v>
      </c>
      <c r="I93" s="202" t="s">
        <v>449</v>
      </c>
      <c r="J93" s="223" t="str">
        <f t="shared" si="6"/>
        <v>GoldGreat Wall Precious Metals Co,. LTD.</v>
      </c>
      <c r="K93" s="223" t="str">
        <f t="shared" si="7"/>
        <v>GoldGreat Wall Precious Metals Co,. LTD.</v>
      </c>
    </row>
    <row r="94" spans="1:11">
      <c r="A94" s="202" t="s">
        <v>134</v>
      </c>
      <c r="B94" s="202" t="s">
        <v>446</v>
      </c>
      <c r="C94" s="202" t="s">
        <v>446</v>
      </c>
      <c r="D94" s="202" t="s">
        <v>237</v>
      </c>
      <c r="E94" s="202" t="s">
        <v>447</v>
      </c>
      <c r="F94" s="202" t="s">
        <v>159</v>
      </c>
      <c r="G94" s="202"/>
      <c r="H94" s="202" t="s">
        <v>448</v>
      </c>
      <c r="I94" s="202" t="s">
        <v>449</v>
      </c>
      <c r="J94" s="223" t="str">
        <f t="shared" si="6"/>
        <v>GoldGreat Wall Precious Metals Co., Ltd. of CBPM</v>
      </c>
      <c r="K94" s="223" t="str">
        <f t="shared" si="7"/>
        <v>GoldGreat Wall Precious Metals Co., Ltd. of CBPM</v>
      </c>
    </row>
    <row r="95" spans="1:11">
      <c r="A95" s="202" t="s">
        <v>134</v>
      </c>
      <c r="B95" s="202" t="s">
        <v>450</v>
      </c>
      <c r="C95" s="202" t="s">
        <v>451</v>
      </c>
      <c r="D95" s="202" t="s">
        <v>237</v>
      </c>
      <c r="E95" s="202" t="s">
        <v>452</v>
      </c>
      <c r="F95" s="202" t="s">
        <v>159</v>
      </c>
      <c r="G95" s="202"/>
      <c r="H95" s="202" t="s">
        <v>453</v>
      </c>
      <c r="I95" s="202" t="s">
        <v>454</v>
      </c>
      <c r="J95" s="223" t="str">
        <f t="shared" si="6"/>
        <v>GoldGuangdong Gaoyao Co</v>
      </c>
      <c r="K95" s="223" t="str">
        <f t="shared" si="7"/>
        <v>GoldGuangdong Gaoyao Co</v>
      </c>
    </row>
    <row r="96" spans="1:11">
      <c r="A96" s="202" t="s">
        <v>134</v>
      </c>
      <c r="B96" s="202" t="s">
        <v>451</v>
      </c>
      <c r="C96" s="202" t="s">
        <v>451</v>
      </c>
      <c r="D96" s="202" t="s">
        <v>237</v>
      </c>
      <c r="E96" s="202" t="s">
        <v>452</v>
      </c>
      <c r="F96" s="202" t="s">
        <v>159</v>
      </c>
      <c r="G96" s="202"/>
      <c r="H96" s="202" t="s">
        <v>453</v>
      </c>
      <c r="I96" s="202" t="s">
        <v>454</v>
      </c>
      <c r="J96" s="223" t="str">
        <f t="shared" si="6"/>
        <v>GoldGuangdong Jinding Gold Limited</v>
      </c>
      <c r="K96" s="223" t="str">
        <f t="shared" si="7"/>
        <v>GoldGuangdong Jinding Gold Limited</v>
      </c>
    </row>
    <row r="97" spans="1:11">
      <c r="A97" s="202" t="s">
        <v>134</v>
      </c>
      <c r="B97" s="202" t="s">
        <v>455</v>
      </c>
      <c r="C97" s="202" t="s">
        <v>431</v>
      </c>
      <c r="D97" s="202" t="s">
        <v>273</v>
      </c>
      <c r="E97" s="202" t="s">
        <v>432</v>
      </c>
      <c r="F97" s="202" t="s">
        <v>159</v>
      </c>
      <c r="G97" s="202"/>
      <c r="H97" s="202" t="s">
        <v>433</v>
      </c>
      <c r="I97" s="202" t="s">
        <v>434</v>
      </c>
      <c r="J97" s="223" t="str">
        <f t="shared" si="6"/>
        <v>GoldGujarat Gold Centre</v>
      </c>
      <c r="K97" s="223" t="str">
        <f t="shared" si="7"/>
        <v>GoldGujarat Gold Centre</v>
      </c>
    </row>
    <row r="98" spans="1:11">
      <c r="A98" s="202" t="s">
        <v>134</v>
      </c>
      <c r="B98" s="202" t="s">
        <v>456</v>
      </c>
      <c r="C98" s="202" t="s">
        <v>456</v>
      </c>
      <c r="D98" s="202" t="s">
        <v>237</v>
      </c>
      <c r="E98" s="202" t="s">
        <v>457</v>
      </c>
      <c r="F98" s="202" t="s">
        <v>159</v>
      </c>
      <c r="G98" s="202"/>
      <c r="H98" s="202" t="s">
        <v>458</v>
      </c>
      <c r="I98" s="202" t="s">
        <v>343</v>
      </c>
      <c r="J98" s="223" t="str">
        <f t="shared" si="6"/>
        <v>GoldGuoda Safina High-Tech Environmental Refinery Co., Ltd.</v>
      </c>
      <c r="K98" s="223" t="str">
        <f t="shared" si="7"/>
        <v>GoldGuoda Safina High-Tech Environmental Refinery Co., Ltd.</v>
      </c>
    </row>
    <row r="99" spans="1:11">
      <c r="A99" s="202" t="s">
        <v>134</v>
      </c>
      <c r="B99" s="202" t="s">
        <v>459</v>
      </c>
      <c r="C99" s="202" t="s">
        <v>459</v>
      </c>
      <c r="D99" s="202" t="s">
        <v>237</v>
      </c>
      <c r="E99" s="202" t="s">
        <v>460</v>
      </c>
      <c r="F99" s="202" t="s">
        <v>159</v>
      </c>
      <c r="G99" s="202"/>
      <c r="H99" s="202" t="s">
        <v>461</v>
      </c>
      <c r="I99" s="202" t="s">
        <v>462</v>
      </c>
      <c r="J99" s="223" t="str">
        <f t="shared" si="6"/>
        <v>GoldHangzhou Fuchunjiang Smelting Co., Ltd.</v>
      </c>
      <c r="K99" s="223" t="str">
        <f t="shared" si="7"/>
        <v>GoldHangzhou Fuchunjiang Smelting Co., Ltd.</v>
      </c>
    </row>
    <row r="100" spans="1:11">
      <c r="A100" s="202" t="s">
        <v>134</v>
      </c>
      <c r="B100" s="202" t="s">
        <v>463</v>
      </c>
      <c r="C100" s="202" t="s">
        <v>464</v>
      </c>
      <c r="D100" s="202" t="s">
        <v>364</v>
      </c>
      <c r="E100" s="202" t="s">
        <v>465</v>
      </c>
      <c r="F100" s="202" t="s">
        <v>159</v>
      </c>
      <c r="G100" s="202"/>
      <c r="H100" s="202" t="s">
        <v>466</v>
      </c>
      <c r="I100" s="202" t="s">
        <v>467</v>
      </c>
      <c r="J100" s="223" t="str">
        <f t="shared" si="6"/>
        <v>GoldHeeSung Metal Ltd.</v>
      </c>
      <c r="K100" s="223" t="str">
        <f t="shared" si="7"/>
        <v>GoldHeeSung Metal Ltd.</v>
      </c>
    </row>
    <row r="101" spans="1:11">
      <c r="A101" s="202" t="s">
        <v>134</v>
      </c>
      <c r="B101" s="202" t="s">
        <v>468</v>
      </c>
      <c r="C101" s="202" t="s">
        <v>468</v>
      </c>
      <c r="D101" s="202" t="s">
        <v>182</v>
      </c>
      <c r="E101" s="202" t="s">
        <v>469</v>
      </c>
      <c r="F101" s="202" t="s">
        <v>159</v>
      </c>
      <c r="G101" s="202"/>
      <c r="H101" s="202" t="s">
        <v>184</v>
      </c>
      <c r="I101" s="202" t="s">
        <v>185</v>
      </c>
      <c r="J101" s="223" t="str">
        <f t="shared" si="6"/>
        <v>GoldHeimerle + Meule GmbH</v>
      </c>
      <c r="K101" s="223" t="str">
        <f t="shared" si="7"/>
        <v>GoldHeimerle + Meule GmbH</v>
      </c>
    </row>
    <row r="102" spans="1:11">
      <c r="A102" s="202" t="s">
        <v>134</v>
      </c>
      <c r="B102" s="202" t="s">
        <v>470</v>
      </c>
      <c r="C102" s="202" t="s">
        <v>335</v>
      </c>
      <c r="D102" s="202" t="s">
        <v>237</v>
      </c>
      <c r="E102" s="202" t="s">
        <v>336</v>
      </c>
      <c r="F102" s="202" t="s">
        <v>159</v>
      </c>
      <c r="G102" s="202"/>
      <c r="H102" s="202" t="s">
        <v>337</v>
      </c>
      <c r="I102" s="202" t="s">
        <v>338</v>
      </c>
      <c r="J102" s="223" t="str">
        <f t="shared" si="6"/>
        <v>GoldHenan Zhongyuan Gold Refinery Co., Ltd.</v>
      </c>
      <c r="K102" s="223" t="str">
        <f t="shared" si="7"/>
        <v>GoldHenan Zhongyuan Gold Refinery Co., Ltd.</v>
      </c>
    </row>
    <row r="103" spans="1:11">
      <c r="A103" s="202" t="s">
        <v>134</v>
      </c>
      <c r="B103" s="202" t="s">
        <v>471</v>
      </c>
      <c r="C103" s="202" t="s">
        <v>335</v>
      </c>
      <c r="D103" s="202" t="s">
        <v>237</v>
      </c>
      <c r="E103" s="202" t="s">
        <v>336</v>
      </c>
      <c r="F103" s="202" t="s">
        <v>159</v>
      </c>
      <c r="G103" s="202"/>
      <c r="H103" s="202" t="s">
        <v>337</v>
      </c>
      <c r="I103" s="202" t="s">
        <v>338</v>
      </c>
      <c r="J103" s="223" t="str">
        <f t="shared" si="6"/>
        <v>GoldHenan Zhongyuan Gold Smelter of Zhongjin Gold Co. Ltd.</v>
      </c>
      <c r="K103" s="223" t="str">
        <f t="shared" si="7"/>
        <v>GoldHenan Zhongyuan Gold Smelter of Zhongjin Gold Co. Ltd.</v>
      </c>
    </row>
    <row r="104" spans="1:11">
      <c r="A104" s="202" t="s">
        <v>134</v>
      </c>
      <c r="B104" s="202" t="s">
        <v>472</v>
      </c>
      <c r="C104" s="202" t="s">
        <v>335</v>
      </c>
      <c r="D104" s="202" t="s">
        <v>237</v>
      </c>
      <c r="E104" s="202" t="s">
        <v>336</v>
      </c>
      <c r="F104" s="202" t="s">
        <v>159</v>
      </c>
      <c r="G104" s="202"/>
      <c r="H104" s="202" t="s">
        <v>337</v>
      </c>
      <c r="I104" s="202" t="s">
        <v>338</v>
      </c>
      <c r="J104" s="223" t="str">
        <f t="shared" si="6"/>
        <v>GoldHenan Zhongyuan Gold Smelter of Zhongjin Gold Corporation Limited</v>
      </c>
      <c r="K104" s="223" t="str">
        <f t="shared" si="7"/>
        <v>GoldHenan Zhongyuan Gold Smelter of Zhongjin Gold Corporation Limited</v>
      </c>
    </row>
    <row r="105" spans="1:11">
      <c r="A105" s="202" t="s">
        <v>134</v>
      </c>
      <c r="B105" s="202" t="s">
        <v>473</v>
      </c>
      <c r="C105" s="202" t="s">
        <v>473</v>
      </c>
      <c r="D105" s="202" t="s">
        <v>182</v>
      </c>
      <c r="E105" s="202" t="s">
        <v>474</v>
      </c>
      <c r="F105" s="202" t="s">
        <v>159</v>
      </c>
      <c r="G105" s="202"/>
      <c r="H105" s="202" t="s">
        <v>475</v>
      </c>
      <c r="I105" s="202" t="s">
        <v>476</v>
      </c>
      <c r="J105" s="223" t="str">
        <f t="shared" si="6"/>
        <v>GoldHeraeus Germany GmbH Co. KG</v>
      </c>
      <c r="K105" s="223" t="str">
        <f t="shared" si="7"/>
        <v>GoldHeraeus Germany GmbH Co. KG</v>
      </c>
    </row>
    <row r="106" spans="1:11">
      <c r="A106" s="202" t="s">
        <v>134</v>
      </c>
      <c r="B106" s="202" t="s">
        <v>477</v>
      </c>
      <c r="C106" s="202" t="s">
        <v>478</v>
      </c>
      <c r="D106" s="202" t="s">
        <v>237</v>
      </c>
      <c r="E106" s="202" t="s">
        <v>479</v>
      </c>
      <c r="F106" s="202" t="s">
        <v>159</v>
      </c>
      <c r="G106" s="202"/>
      <c r="H106" s="202" t="s">
        <v>480</v>
      </c>
      <c r="I106" s="202" t="s">
        <v>481</v>
      </c>
      <c r="J106" s="223" t="str">
        <f t="shared" si="6"/>
        <v>GoldHeraeus Ltd. Hong Kong</v>
      </c>
      <c r="K106" s="223" t="str">
        <f t="shared" si="7"/>
        <v>GoldHeraeus Ltd. Hong Kong</v>
      </c>
    </row>
    <row r="107" spans="1:11">
      <c r="A107" s="202" t="s">
        <v>134</v>
      </c>
      <c r="B107" s="202" t="s">
        <v>478</v>
      </c>
      <c r="C107" s="202" t="s">
        <v>478</v>
      </c>
      <c r="D107" s="202" t="s">
        <v>237</v>
      </c>
      <c r="E107" s="202" t="s">
        <v>479</v>
      </c>
      <c r="F107" s="202" t="s">
        <v>159</v>
      </c>
      <c r="G107" s="202"/>
      <c r="H107" s="202" t="s">
        <v>480</v>
      </c>
      <c r="I107" s="202" t="s">
        <v>481</v>
      </c>
      <c r="J107" s="223" t="str">
        <f t="shared" si="6"/>
        <v>GoldHeraeus Metals Hong Kong Ltd.</v>
      </c>
      <c r="K107" s="223" t="str">
        <f t="shared" si="7"/>
        <v>GoldHeraeus Metals Hong Kong Ltd.</v>
      </c>
    </row>
    <row r="108" spans="1:11">
      <c r="A108" s="202" t="s">
        <v>134</v>
      </c>
      <c r="B108" s="202" t="s">
        <v>482</v>
      </c>
      <c r="C108" s="202" t="s">
        <v>473</v>
      </c>
      <c r="D108" s="202" t="s">
        <v>182</v>
      </c>
      <c r="E108" s="202" t="s">
        <v>474</v>
      </c>
      <c r="F108" s="202" t="s">
        <v>159</v>
      </c>
      <c r="G108" s="202"/>
      <c r="H108" s="202" t="s">
        <v>475</v>
      </c>
      <c r="I108" s="202" t="s">
        <v>476</v>
      </c>
      <c r="J108" s="223" t="str">
        <f t="shared" si="6"/>
        <v>GoldHeraeus Precious Metals GmbH &amp; Co. KG</v>
      </c>
      <c r="K108" s="223" t="str">
        <f t="shared" si="7"/>
        <v>GoldHeraeus Precious Metals GmbH &amp; Co. KG</v>
      </c>
    </row>
    <row r="109" spans="1:11">
      <c r="A109" s="202" t="s">
        <v>134</v>
      </c>
      <c r="B109" s="202" t="s">
        <v>483</v>
      </c>
      <c r="C109" s="202" t="s">
        <v>483</v>
      </c>
      <c r="D109" s="202" t="s">
        <v>237</v>
      </c>
      <c r="E109" s="202" t="s">
        <v>484</v>
      </c>
      <c r="F109" s="202" t="s">
        <v>159</v>
      </c>
      <c r="G109" s="202"/>
      <c r="H109" s="202" t="s">
        <v>485</v>
      </c>
      <c r="I109" s="202" t="s">
        <v>486</v>
      </c>
      <c r="J109" s="223" t="str">
        <f t="shared" si="6"/>
        <v>GoldHunan Chenzhou Mining Co., Ltd.</v>
      </c>
      <c r="K109" s="223" t="str">
        <f t="shared" si="7"/>
        <v>GoldHunan Chenzhou Mining Co., Ltd.</v>
      </c>
    </row>
    <row r="110" spans="1:11">
      <c r="A110" s="202" t="s">
        <v>134</v>
      </c>
      <c r="B110" s="202" t="s">
        <v>487</v>
      </c>
      <c r="C110" s="202" t="s">
        <v>483</v>
      </c>
      <c r="D110" s="202" t="s">
        <v>237</v>
      </c>
      <c r="E110" s="202" t="s">
        <v>484</v>
      </c>
      <c r="F110" s="202" t="s">
        <v>159</v>
      </c>
      <c r="G110" s="202"/>
      <c r="H110" s="202" t="s">
        <v>485</v>
      </c>
      <c r="I110" s="202" t="s">
        <v>486</v>
      </c>
      <c r="J110" s="223" t="str">
        <f t="shared" si="6"/>
        <v>GoldHunan Chenzhou Mining Group Co., Ltd.</v>
      </c>
      <c r="K110" s="223" t="str">
        <f t="shared" si="7"/>
        <v>GoldHunan Chenzhou Mining Group Co., Ltd.</v>
      </c>
    </row>
    <row r="111" spans="1:11">
      <c r="A111" s="202" t="s">
        <v>134</v>
      </c>
      <c r="B111" s="202" t="s">
        <v>488</v>
      </c>
      <c r="C111" s="202" t="s">
        <v>483</v>
      </c>
      <c r="D111" s="202" t="s">
        <v>237</v>
      </c>
      <c r="E111" s="202" t="s">
        <v>484</v>
      </c>
      <c r="F111" s="202" t="s">
        <v>159</v>
      </c>
      <c r="G111" s="202"/>
      <c r="H111" s="202" t="s">
        <v>485</v>
      </c>
      <c r="I111" s="202" t="s">
        <v>486</v>
      </c>
      <c r="J111" s="223" t="str">
        <f t="shared" si="6"/>
        <v>GoldHunan Chenzhou Mining Industry Co. Ltd.</v>
      </c>
      <c r="K111" s="223" t="str">
        <f t="shared" si="7"/>
        <v>GoldHunan Chenzhou Mining Industry Co. Ltd.</v>
      </c>
    </row>
    <row r="112" spans="1:11">
      <c r="A112" s="202" t="s">
        <v>134</v>
      </c>
      <c r="B112" s="202" t="s">
        <v>489</v>
      </c>
      <c r="C112" s="202" t="s">
        <v>489</v>
      </c>
      <c r="D112" s="202" t="s">
        <v>237</v>
      </c>
      <c r="E112" s="202" t="s">
        <v>490</v>
      </c>
      <c r="F112" s="202" t="s">
        <v>159</v>
      </c>
      <c r="G112" s="202"/>
      <c r="H112" s="202" t="s">
        <v>491</v>
      </c>
      <c r="I112" s="202" t="s">
        <v>486</v>
      </c>
      <c r="J112" s="223" t="str">
        <f t="shared" si="6"/>
        <v>GoldHunan Guiyang yinxing Nonferrous Smelting Co., Ltd.</v>
      </c>
      <c r="K112" s="223" t="str">
        <f t="shared" si="7"/>
        <v>GoldHunan Guiyang yinxing Nonferrous Smelting Co., Ltd.</v>
      </c>
    </row>
    <row r="113" spans="1:11">
      <c r="A113" s="202" t="s">
        <v>134</v>
      </c>
      <c r="B113" s="202" t="s">
        <v>492</v>
      </c>
      <c r="C113" s="202" t="s">
        <v>489</v>
      </c>
      <c r="D113" s="202" t="s">
        <v>237</v>
      </c>
      <c r="E113" s="202" t="s">
        <v>490</v>
      </c>
      <c r="F113" s="202" t="s">
        <v>159</v>
      </c>
      <c r="G113" s="202"/>
      <c r="H113" s="202" t="s">
        <v>491</v>
      </c>
      <c r="I113" s="202" t="s">
        <v>486</v>
      </c>
      <c r="J113" s="223" t="str">
        <f t="shared" si="6"/>
        <v>GoldHunan Yu Teng Non-Ferrous Metals Co., Ltd.</v>
      </c>
      <c r="K113" s="223" t="str">
        <f t="shared" si="7"/>
        <v>GoldHunan Yu Teng Non-Ferrous Metals Co., Ltd.</v>
      </c>
    </row>
    <row r="114" spans="1:11">
      <c r="A114" s="202" t="s">
        <v>134</v>
      </c>
      <c r="B114" s="202" t="s">
        <v>493</v>
      </c>
      <c r="C114" s="202" t="s">
        <v>493</v>
      </c>
      <c r="D114" s="202" t="s">
        <v>364</v>
      </c>
      <c r="E114" s="202" t="s">
        <v>494</v>
      </c>
      <c r="F114" s="202" t="s">
        <v>159</v>
      </c>
      <c r="G114" s="202"/>
      <c r="H114" s="202" t="s">
        <v>495</v>
      </c>
      <c r="I114" s="202" t="s">
        <v>367</v>
      </c>
      <c r="J114" s="223" t="str">
        <f t="shared" si="6"/>
        <v>GoldHwaSeong CJ CO., LTD.</v>
      </c>
      <c r="K114" s="223" t="str">
        <f t="shared" si="7"/>
        <v>GoldHwaSeong CJ CO., LTD.</v>
      </c>
    </row>
    <row r="115" spans="1:11">
      <c r="A115" s="202" t="s">
        <v>134</v>
      </c>
      <c r="B115" s="202" t="s">
        <v>496</v>
      </c>
      <c r="C115" s="202" t="s">
        <v>496</v>
      </c>
      <c r="D115" s="202" t="s">
        <v>497</v>
      </c>
      <c r="E115" s="202" t="s">
        <v>498</v>
      </c>
      <c r="F115" s="202" t="s">
        <v>159</v>
      </c>
      <c r="G115" s="202"/>
      <c r="H115" s="202" t="s">
        <v>499</v>
      </c>
      <c r="I115" s="202" t="s">
        <v>500</v>
      </c>
      <c r="J115" s="223" t="str">
        <f t="shared" si="6"/>
        <v>GoldIndustrial Refining Company</v>
      </c>
      <c r="K115" s="223" t="str">
        <f t="shared" si="7"/>
        <v>GoldIndustrial Refining Company</v>
      </c>
    </row>
    <row r="116" spans="1:11">
      <c r="A116" s="202" t="s">
        <v>134</v>
      </c>
      <c r="B116" s="202" t="s">
        <v>501</v>
      </c>
      <c r="C116" s="202" t="s">
        <v>501</v>
      </c>
      <c r="D116" s="202" t="s">
        <v>237</v>
      </c>
      <c r="E116" s="202" t="s">
        <v>502</v>
      </c>
      <c r="F116" s="202" t="s">
        <v>159</v>
      </c>
      <c r="G116" s="202"/>
      <c r="H116" s="202" t="s">
        <v>503</v>
      </c>
      <c r="I116" s="202" t="s">
        <v>504</v>
      </c>
      <c r="J116" s="223" t="str">
        <f t="shared" si="6"/>
        <v>GoldInner Mongolia Qiankun Gold and Silver Refinery Share Co., Ltd.</v>
      </c>
      <c r="K116" s="223" t="str">
        <f t="shared" si="7"/>
        <v>GoldInner Mongolia Qiankun Gold and Silver Refinery Share Co., Ltd.</v>
      </c>
    </row>
    <row r="117" spans="1:11">
      <c r="A117" s="202" t="s">
        <v>134</v>
      </c>
      <c r="B117" s="202" t="s">
        <v>505</v>
      </c>
      <c r="C117" s="202" t="s">
        <v>505</v>
      </c>
      <c r="D117" s="202" t="s">
        <v>204</v>
      </c>
      <c r="E117" s="202" t="s">
        <v>506</v>
      </c>
      <c r="F117" s="202" t="s">
        <v>159</v>
      </c>
      <c r="G117" s="202"/>
      <c r="H117" s="202" t="s">
        <v>206</v>
      </c>
      <c r="I117" s="202" t="s">
        <v>207</v>
      </c>
      <c r="J117" s="223" t="str">
        <f t="shared" si="6"/>
        <v>GoldInternational Precious Metal Refiners</v>
      </c>
      <c r="K117" s="223" t="str">
        <f t="shared" si="7"/>
        <v>GoldInternational Precious Metal Refiners</v>
      </c>
    </row>
    <row r="118" spans="1:11">
      <c r="A118" s="202" t="s">
        <v>134</v>
      </c>
      <c r="B118" s="202" t="s">
        <v>507</v>
      </c>
      <c r="C118" s="202" t="s">
        <v>507</v>
      </c>
      <c r="D118" s="202" t="s">
        <v>193</v>
      </c>
      <c r="E118" s="202" t="s">
        <v>508</v>
      </c>
      <c r="F118" s="202" t="s">
        <v>159</v>
      </c>
      <c r="G118" s="202"/>
      <c r="H118" s="202" t="s">
        <v>509</v>
      </c>
      <c r="I118" s="202" t="s">
        <v>379</v>
      </c>
      <c r="J118" s="223" t="str">
        <f t="shared" si="6"/>
        <v>GoldIshifuku Metal Industry Co., Ltd.</v>
      </c>
      <c r="K118" s="223" t="str">
        <f t="shared" si="7"/>
        <v>GoldIshifuku Metal Industry Co., Ltd.</v>
      </c>
    </row>
    <row r="119" spans="1:11">
      <c r="A119" s="202" t="s">
        <v>134</v>
      </c>
      <c r="B119" s="202" t="s">
        <v>510</v>
      </c>
      <c r="C119" s="202" t="s">
        <v>510</v>
      </c>
      <c r="D119" s="202" t="s">
        <v>263</v>
      </c>
      <c r="E119" s="202" t="s">
        <v>511</v>
      </c>
      <c r="F119" s="202" t="s">
        <v>159</v>
      </c>
      <c r="G119" s="202"/>
      <c r="H119" s="202" t="s">
        <v>512</v>
      </c>
      <c r="I119" s="202" t="s">
        <v>266</v>
      </c>
      <c r="J119" s="223" t="str">
        <f t="shared" si="6"/>
        <v>GoldIstanbul Gold Refinery</v>
      </c>
      <c r="K119" s="223" t="str">
        <f t="shared" si="7"/>
        <v>GoldIstanbul Gold Refinery</v>
      </c>
    </row>
    <row r="120" spans="1:11">
      <c r="A120" s="202" t="s">
        <v>134</v>
      </c>
      <c r="B120" s="202" t="s">
        <v>513</v>
      </c>
      <c r="C120" s="202" t="s">
        <v>513</v>
      </c>
      <c r="D120" s="202" t="s">
        <v>157</v>
      </c>
      <c r="E120" s="202" t="s">
        <v>514</v>
      </c>
      <c r="F120" s="202" t="s">
        <v>159</v>
      </c>
      <c r="G120" s="202"/>
      <c r="H120" s="202" t="s">
        <v>332</v>
      </c>
      <c r="I120" s="202" t="s">
        <v>333</v>
      </c>
      <c r="J120" s="223" t="str">
        <f t="shared" si="6"/>
        <v>GoldItalpreziosi</v>
      </c>
      <c r="K120" s="223" t="str">
        <f t="shared" si="7"/>
        <v>GoldItalpreziosi</v>
      </c>
    </row>
    <row r="121" spans="1:11">
      <c r="A121" s="202" t="s">
        <v>134</v>
      </c>
      <c r="B121" s="202" t="s">
        <v>515</v>
      </c>
      <c r="C121" s="202" t="s">
        <v>515</v>
      </c>
      <c r="D121" s="202" t="s">
        <v>273</v>
      </c>
      <c r="E121" s="202" t="s">
        <v>516</v>
      </c>
      <c r="F121" s="202" t="s">
        <v>159</v>
      </c>
      <c r="G121" s="202"/>
      <c r="H121" s="202" t="s">
        <v>517</v>
      </c>
      <c r="I121" s="202" t="s">
        <v>518</v>
      </c>
      <c r="J121" s="223" t="str">
        <f t="shared" si="6"/>
        <v>GoldJALAN &amp; Company</v>
      </c>
      <c r="K121" s="223" t="str">
        <f t="shared" si="7"/>
        <v>GoldJALAN &amp; Company</v>
      </c>
    </row>
    <row r="122" spans="1:11">
      <c r="A122" s="202" t="s">
        <v>134</v>
      </c>
      <c r="B122" s="202" t="s">
        <v>519</v>
      </c>
      <c r="C122" s="202" t="s">
        <v>519</v>
      </c>
      <c r="D122" s="202" t="s">
        <v>193</v>
      </c>
      <c r="E122" s="202" t="s">
        <v>520</v>
      </c>
      <c r="F122" s="202" t="s">
        <v>159</v>
      </c>
      <c r="G122" s="202"/>
      <c r="H122" s="202" t="s">
        <v>521</v>
      </c>
      <c r="I122" s="202" t="s">
        <v>521</v>
      </c>
      <c r="J122" s="223" t="str">
        <f t="shared" si="6"/>
        <v>GoldJapan Mint</v>
      </c>
      <c r="K122" s="223" t="str">
        <f t="shared" si="7"/>
        <v>GoldJapan Mint</v>
      </c>
    </row>
    <row r="123" spans="1:11">
      <c r="A123" s="202" t="s">
        <v>134</v>
      </c>
      <c r="B123" s="202" t="s">
        <v>522</v>
      </c>
      <c r="C123" s="202" t="s">
        <v>523</v>
      </c>
      <c r="D123" s="202" t="s">
        <v>237</v>
      </c>
      <c r="E123" s="202" t="s">
        <v>524</v>
      </c>
      <c r="F123" s="202" t="s">
        <v>159</v>
      </c>
      <c r="G123" s="202"/>
      <c r="H123" s="202" t="s">
        <v>525</v>
      </c>
      <c r="I123" s="202" t="s">
        <v>526</v>
      </c>
      <c r="J123" s="223" t="str">
        <f t="shared" si="6"/>
        <v>GoldJCC</v>
      </c>
      <c r="K123" s="223" t="str">
        <f t="shared" si="7"/>
        <v>GoldJCC</v>
      </c>
    </row>
    <row r="124" spans="1:11">
      <c r="A124" s="202" t="s">
        <v>134</v>
      </c>
      <c r="B124" s="202" t="s">
        <v>523</v>
      </c>
      <c r="C124" s="202" t="s">
        <v>523</v>
      </c>
      <c r="D124" s="202" t="s">
        <v>237</v>
      </c>
      <c r="E124" s="202" t="s">
        <v>524</v>
      </c>
      <c r="F124" s="202" t="s">
        <v>159</v>
      </c>
      <c r="G124" s="202"/>
      <c r="H124" s="202" t="s">
        <v>525</v>
      </c>
      <c r="I124" s="202" t="s">
        <v>526</v>
      </c>
      <c r="J124" s="223" t="str">
        <f t="shared" si="6"/>
        <v>GoldJiangxi Copper Co., Ltd.</v>
      </c>
      <c r="K124" s="223" t="str">
        <f t="shared" si="7"/>
        <v>GoldJiangxi Copper Co., Ltd.</v>
      </c>
    </row>
    <row r="125" spans="1:11">
      <c r="A125" s="202" t="s">
        <v>134</v>
      </c>
      <c r="B125" s="202" t="s">
        <v>527</v>
      </c>
      <c r="C125" s="202" t="s">
        <v>248</v>
      </c>
      <c r="D125" s="202" t="s">
        <v>249</v>
      </c>
      <c r="E125" s="202" t="s">
        <v>250</v>
      </c>
      <c r="F125" s="202" t="s">
        <v>159</v>
      </c>
      <c r="G125" s="202"/>
      <c r="H125" s="202" t="s">
        <v>251</v>
      </c>
      <c r="I125" s="202" t="s">
        <v>252</v>
      </c>
      <c r="J125" s="223" t="str">
        <f t="shared" si="6"/>
        <v>GoldJohnson Matthey Canada</v>
      </c>
      <c r="K125" s="223" t="str">
        <f t="shared" si="7"/>
        <v>GoldJohnson Matthey Canada</v>
      </c>
    </row>
    <row r="126" spans="1:11">
      <c r="A126" s="202" t="s">
        <v>134</v>
      </c>
      <c r="B126" s="202" t="s">
        <v>528</v>
      </c>
      <c r="C126" s="202" t="s">
        <v>253</v>
      </c>
      <c r="D126" s="202" t="s">
        <v>168</v>
      </c>
      <c r="E126" s="202" t="s">
        <v>254</v>
      </c>
      <c r="F126" s="202" t="s">
        <v>159</v>
      </c>
      <c r="G126" s="202"/>
      <c r="H126" s="202" t="s">
        <v>255</v>
      </c>
      <c r="I126" s="202" t="s">
        <v>256</v>
      </c>
      <c r="J126" s="223" t="str">
        <f t="shared" si="6"/>
        <v>GoldJohnson Matthey Inc.</v>
      </c>
      <c r="K126" s="223" t="str">
        <f t="shared" si="7"/>
        <v>GoldJohnson Matthey Inc.</v>
      </c>
    </row>
    <row r="127" spans="1:11">
      <c r="A127" s="202" t="s">
        <v>134</v>
      </c>
      <c r="B127" s="202" t="s">
        <v>529</v>
      </c>
      <c r="C127" s="202" t="s">
        <v>253</v>
      </c>
      <c r="D127" s="202" t="s">
        <v>168</v>
      </c>
      <c r="E127" s="202" t="s">
        <v>254</v>
      </c>
      <c r="F127" s="202" t="s">
        <v>159</v>
      </c>
      <c r="G127" s="202"/>
      <c r="H127" s="202" t="s">
        <v>255</v>
      </c>
      <c r="I127" s="202" t="s">
        <v>256</v>
      </c>
      <c r="J127" s="223" t="str">
        <f t="shared" si="6"/>
        <v>GoldJohnson Matthey Inc. (USA)</v>
      </c>
      <c r="K127" s="223" t="str">
        <f t="shared" si="7"/>
        <v>GoldJohnson Matthey Inc. (USA)</v>
      </c>
    </row>
    <row r="128" spans="1:11">
      <c r="A128" s="202" t="s">
        <v>134</v>
      </c>
      <c r="B128" s="202" t="s">
        <v>530</v>
      </c>
      <c r="C128" s="202" t="s">
        <v>248</v>
      </c>
      <c r="D128" s="202" t="s">
        <v>249</v>
      </c>
      <c r="E128" s="202" t="s">
        <v>250</v>
      </c>
      <c r="F128" s="202" t="s">
        <v>159</v>
      </c>
      <c r="G128" s="202"/>
      <c r="H128" s="202" t="s">
        <v>251</v>
      </c>
      <c r="I128" s="202" t="s">
        <v>252</v>
      </c>
      <c r="J128" s="223" t="str">
        <f t="shared" si="6"/>
        <v>GoldJohnson Matthey Limited</v>
      </c>
      <c r="K128" s="223" t="str">
        <f t="shared" si="7"/>
        <v>GoldJohnson Matthey Limited</v>
      </c>
    </row>
    <row r="129" spans="1:11">
      <c r="A129" s="202" t="s">
        <v>134</v>
      </c>
      <c r="B129" s="202" t="s">
        <v>387</v>
      </c>
      <c r="C129" s="202" t="s">
        <v>387</v>
      </c>
      <c r="D129" s="202" t="s">
        <v>388</v>
      </c>
      <c r="E129" s="202" t="s">
        <v>389</v>
      </c>
      <c r="F129" s="202" t="s">
        <v>159</v>
      </c>
      <c r="G129" s="202"/>
      <c r="H129" s="202" t="s">
        <v>390</v>
      </c>
      <c r="I129" s="202" t="s">
        <v>391</v>
      </c>
      <c r="J129" s="223" t="str">
        <f t="shared" si="6"/>
        <v>GoldJSC Ekaterinburg Non-Ferrous Metal Processing Plant</v>
      </c>
      <c r="K129" s="223" t="str">
        <f t="shared" si="7"/>
        <v>GoldJSC Ekaterinburg Non-Ferrous Metal Processing Plant</v>
      </c>
    </row>
    <row r="130" spans="1:11">
      <c r="A130" s="202" t="s">
        <v>134</v>
      </c>
      <c r="B130" s="202" t="s">
        <v>415</v>
      </c>
      <c r="C130" s="202" t="s">
        <v>415</v>
      </c>
      <c r="D130" s="202" t="s">
        <v>388</v>
      </c>
      <c r="E130" s="202" t="s">
        <v>416</v>
      </c>
      <c r="F130" s="202" t="s">
        <v>159</v>
      </c>
      <c r="G130" s="202"/>
      <c r="H130" s="202" t="s">
        <v>417</v>
      </c>
      <c r="I130" s="202" t="s">
        <v>418</v>
      </c>
      <c r="J130" s="223" t="str">
        <f t="shared" si="6"/>
        <v>GoldJSC Novosibirsk Refinery</v>
      </c>
      <c r="K130" s="223" t="str">
        <f t="shared" si="7"/>
        <v>GoldJSC Novosibirsk Refinery</v>
      </c>
    </row>
    <row r="131" spans="1:11">
      <c r="A131" s="202" t="s">
        <v>134</v>
      </c>
      <c r="B131" s="202" t="s">
        <v>531</v>
      </c>
      <c r="C131" s="202" t="s">
        <v>531</v>
      </c>
      <c r="D131" s="202" t="s">
        <v>388</v>
      </c>
      <c r="E131" s="202" t="s">
        <v>532</v>
      </c>
      <c r="F131" s="202" t="s">
        <v>159</v>
      </c>
      <c r="G131" s="202"/>
      <c r="H131" s="202" t="s">
        <v>390</v>
      </c>
      <c r="I131" s="202" t="s">
        <v>391</v>
      </c>
      <c r="J131" s="223" t="str">
        <f t="shared" si="6"/>
        <v>GoldJSC Uralelectromed</v>
      </c>
      <c r="K131" s="223" t="str">
        <f t="shared" si="7"/>
        <v>GoldJSC Uralelectromed</v>
      </c>
    </row>
    <row r="132" spans="1:11">
      <c r="A132" s="202" t="s">
        <v>134</v>
      </c>
      <c r="B132" s="202" t="s">
        <v>533</v>
      </c>
      <c r="C132" s="202" t="s">
        <v>533</v>
      </c>
      <c r="D132" s="202" t="s">
        <v>193</v>
      </c>
      <c r="E132" s="202" t="s">
        <v>534</v>
      </c>
      <c r="F132" s="202" t="s">
        <v>159</v>
      </c>
      <c r="G132" s="202"/>
      <c r="H132" s="202" t="s">
        <v>535</v>
      </c>
      <c r="I132" s="202" t="s">
        <v>536</v>
      </c>
      <c r="J132" s="223" t="str">
        <f t="shared" si="6"/>
        <v>GoldJX Nippon Mining &amp; Metals Co., Ltd.</v>
      </c>
      <c r="K132" s="223" t="str">
        <f t="shared" si="7"/>
        <v>GoldJX Nippon Mining &amp; Metals Co., Ltd.</v>
      </c>
    </row>
    <row r="133" spans="1:11">
      <c r="A133" s="202" t="s">
        <v>134</v>
      </c>
      <c r="B133" s="202" t="s">
        <v>537</v>
      </c>
      <c r="C133" s="202" t="s">
        <v>537</v>
      </c>
      <c r="D133" s="202" t="s">
        <v>538</v>
      </c>
      <c r="E133" s="202" t="s">
        <v>539</v>
      </c>
      <c r="F133" s="202" t="s">
        <v>159</v>
      </c>
      <c r="G133" s="202"/>
      <c r="H133" s="202" t="s">
        <v>540</v>
      </c>
      <c r="I133" s="202" t="s">
        <v>541</v>
      </c>
      <c r="J133" s="223" t="str">
        <f t="shared" si="6"/>
        <v>GoldK.A. Rasmussen</v>
      </c>
      <c r="K133" s="223" t="str">
        <f t="shared" si="7"/>
        <v>GoldK.A. Rasmussen</v>
      </c>
    </row>
    <row r="134" spans="1:11">
      <c r="A134" s="202" t="s">
        <v>134</v>
      </c>
      <c r="B134" s="202" t="s">
        <v>542</v>
      </c>
      <c r="C134" s="202" t="s">
        <v>542</v>
      </c>
      <c r="D134" s="202" t="s">
        <v>204</v>
      </c>
      <c r="E134" s="202" t="s">
        <v>543</v>
      </c>
      <c r="F134" s="202" t="s">
        <v>159</v>
      </c>
      <c r="G134" s="202"/>
      <c r="H134" s="202" t="s">
        <v>206</v>
      </c>
      <c r="I134" s="202" t="s">
        <v>207</v>
      </c>
      <c r="J134" s="223" t="str">
        <f t="shared" si="6"/>
        <v>GoldKaloti Precious Metals</v>
      </c>
      <c r="K134" s="223" t="str">
        <f t="shared" si="7"/>
        <v>GoldKaloti Precious Metals</v>
      </c>
    </row>
    <row r="135" spans="1:11">
      <c r="A135" s="202" t="s">
        <v>134</v>
      </c>
      <c r="B135" s="202" t="s">
        <v>544</v>
      </c>
      <c r="C135" s="202" t="s">
        <v>544</v>
      </c>
      <c r="D135" s="202" t="s">
        <v>545</v>
      </c>
      <c r="E135" s="202" t="s">
        <v>546</v>
      </c>
      <c r="F135" s="202" t="s">
        <v>159</v>
      </c>
      <c r="G135" s="202"/>
      <c r="H135" s="202" t="s">
        <v>547</v>
      </c>
      <c r="I135" s="202" t="s">
        <v>548</v>
      </c>
      <c r="J135" s="223" t="str">
        <f t="shared" ref="J135:J198" si="8">A135&amp;B135</f>
        <v>GoldKazakhmys Smelting LLC</v>
      </c>
      <c r="K135" s="223" t="str">
        <f t="shared" ref="K135:K198" si="9">A135&amp;B135</f>
        <v>GoldKazakhmys Smelting LLC</v>
      </c>
    </row>
    <row r="136" spans="1:11">
      <c r="A136" s="202" t="s">
        <v>134</v>
      </c>
      <c r="B136" s="202" t="s">
        <v>549</v>
      </c>
      <c r="C136" s="202" t="s">
        <v>549</v>
      </c>
      <c r="D136" s="202" t="s">
        <v>545</v>
      </c>
      <c r="E136" s="202" t="s">
        <v>550</v>
      </c>
      <c r="F136" s="202" t="s">
        <v>159</v>
      </c>
      <c r="G136" s="202"/>
      <c r="H136" s="202" t="s">
        <v>551</v>
      </c>
      <c r="I136" s="202" t="s">
        <v>548</v>
      </c>
      <c r="J136" s="223" t="str">
        <f t="shared" si="8"/>
        <v>GoldKazzinc</v>
      </c>
      <c r="K136" s="223" t="str">
        <f t="shared" si="9"/>
        <v>GoldKazzinc</v>
      </c>
    </row>
    <row r="137" spans="1:11">
      <c r="A137" s="202" t="s">
        <v>134</v>
      </c>
      <c r="B137" s="202" t="s">
        <v>552</v>
      </c>
      <c r="C137" s="202" t="s">
        <v>552</v>
      </c>
      <c r="D137" s="202" t="s">
        <v>168</v>
      </c>
      <c r="E137" s="202" t="s">
        <v>553</v>
      </c>
      <c r="F137" s="202" t="s">
        <v>159</v>
      </c>
      <c r="G137" s="202"/>
      <c r="H137" s="202" t="s">
        <v>554</v>
      </c>
      <c r="I137" s="202" t="s">
        <v>256</v>
      </c>
      <c r="J137" s="223" t="str">
        <f t="shared" si="8"/>
        <v>GoldKennecott Utah Copper LLC</v>
      </c>
      <c r="K137" s="223" t="str">
        <f t="shared" si="9"/>
        <v>GoldKennecott Utah Copper LLC</v>
      </c>
    </row>
    <row r="138" spans="1:11">
      <c r="A138" s="202" t="s">
        <v>134</v>
      </c>
      <c r="B138" s="202" t="s">
        <v>555</v>
      </c>
      <c r="C138" s="202" t="s">
        <v>556</v>
      </c>
      <c r="D138" s="202" t="s">
        <v>557</v>
      </c>
      <c r="E138" s="202" t="s">
        <v>558</v>
      </c>
      <c r="F138" s="202" t="s">
        <v>159</v>
      </c>
      <c r="G138" s="202"/>
      <c r="H138" s="202" t="s">
        <v>559</v>
      </c>
      <c r="I138" s="202" t="s">
        <v>560</v>
      </c>
      <c r="J138" s="223" t="str">
        <f t="shared" si="8"/>
        <v>GoldKGHM Polska Miedz S.A.</v>
      </c>
      <c r="K138" s="223" t="str">
        <f t="shared" si="9"/>
        <v>GoldKGHM Polska Miedz S.A.</v>
      </c>
    </row>
    <row r="139" spans="1:11">
      <c r="A139" s="202" t="s">
        <v>134</v>
      </c>
      <c r="B139" s="202" t="s">
        <v>556</v>
      </c>
      <c r="C139" s="202" t="s">
        <v>556</v>
      </c>
      <c r="D139" s="202" t="s">
        <v>557</v>
      </c>
      <c r="E139" s="202" t="s">
        <v>558</v>
      </c>
      <c r="F139" s="202" t="s">
        <v>159</v>
      </c>
      <c r="G139" s="202"/>
      <c r="H139" s="202" t="s">
        <v>559</v>
      </c>
      <c r="I139" s="202" t="s">
        <v>560</v>
      </c>
      <c r="J139" s="223" t="str">
        <f t="shared" si="8"/>
        <v>GoldKGHM Polska Miedz Spolka Akcyjna</v>
      </c>
      <c r="K139" s="223" t="str">
        <f t="shared" si="9"/>
        <v>GoldKGHM Polska Miedz Spolka Akcyjna</v>
      </c>
    </row>
    <row r="140" spans="1:11">
      <c r="A140" s="202" t="s">
        <v>134</v>
      </c>
      <c r="B140" s="202" t="s">
        <v>561</v>
      </c>
      <c r="C140" s="202" t="s">
        <v>556</v>
      </c>
      <c r="D140" s="202" t="s">
        <v>557</v>
      </c>
      <c r="E140" s="202" t="s">
        <v>558</v>
      </c>
      <c r="F140" s="202" t="s">
        <v>159</v>
      </c>
      <c r="G140" s="202"/>
      <c r="H140" s="202" t="s">
        <v>559</v>
      </c>
      <c r="I140" s="202" t="s">
        <v>560</v>
      </c>
      <c r="J140" s="223" t="str">
        <f t="shared" si="8"/>
        <v>GoldKGHM Polska Miedź Spółka Akcyjna</v>
      </c>
      <c r="K140" s="223" t="str">
        <f t="shared" si="9"/>
        <v>GoldKGHM Polska Miedź Spółka Akcyjna</v>
      </c>
    </row>
    <row r="141" spans="1:11">
      <c r="A141" s="202" t="s">
        <v>134</v>
      </c>
      <c r="B141" s="202" t="s">
        <v>562</v>
      </c>
      <c r="C141" s="202" t="s">
        <v>562</v>
      </c>
      <c r="D141" s="202" t="s">
        <v>193</v>
      </c>
      <c r="E141" s="202" t="s">
        <v>563</v>
      </c>
      <c r="F141" s="202" t="s">
        <v>159</v>
      </c>
      <c r="G141" s="202"/>
      <c r="H141" s="202" t="s">
        <v>564</v>
      </c>
      <c r="I141" s="202" t="s">
        <v>379</v>
      </c>
      <c r="J141" s="223" t="str">
        <f t="shared" si="8"/>
        <v>GoldKojima Chemicals Co., Ltd.</v>
      </c>
      <c r="K141" s="223" t="str">
        <f t="shared" si="9"/>
        <v>GoldKojima Chemicals Co., Ltd.</v>
      </c>
    </row>
    <row r="142" spans="1:11">
      <c r="A142" s="202" t="s">
        <v>134</v>
      </c>
      <c r="B142" s="202" t="s">
        <v>565</v>
      </c>
      <c r="C142" s="202" t="s">
        <v>562</v>
      </c>
      <c r="D142" s="202" t="s">
        <v>193</v>
      </c>
      <c r="E142" s="202" t="s">
        <v>563</v>
      </c>
      <c r="F142" s="202" t="s">
        <v>159</v>
      </c>
      <c r="G142" s="202"/>
      <c r="H142" s="202" t="s">
        <v>564</v>
      </c>
      <c r="I142" s="202" t="s">
        <v>379</v>
      </c>
      <c r="J142" s="223" t="str">
        <f t="shared" si="8"/>
        <v>GoldKojima Kagaku Yakuhin Co., Ltd</v>
      </c>
      <c r="K142" s="223" t="str">
        <f t="shared" si="9"/>
        <v>GoldKojima Kagaku Yakuhin Co., Ltd</v>
      </c>
    </row>
    <row r="143" spans="1:11">
      <c r="A143" s="202" t="s">
        <v>134</v>
      </c>
      <c r="B143" s="202" t="s">
        <v>566</v>
      </c>
      <c r="C143" s="202" t="s">
        <v>556</v>
      </c>
      <c r="D143" s="202" t="s">
        <v>557</v>
      </c>
      <c r="E143" s="202" t="s">
        <v>558</v>
      </c>
      <c r="F143" s="202" t="s">
        <v>159</v>
      </c>
      <c r="G143" s="202"/>
      <c r="H143" s="202" t="s">
        <v>559</v>
      </c>
      <c r="I143" s="202" t="s">
        <v>560</v>
      </c>
      <c r="J143" s="223" t="str">
        <f t="shared" si="8"/>
        <v>GoldKombinat Gorniczo Hutniczy Miedz Polska Miedz S.A.</v>
      </c>
      <c r="K143" s="223" t="str">
        <f t="shared" si="9"/>
        <v>GoldKombinat Gorniczo Hutniczy Miedz Polska Miedz S.A.</v>
      </c>
    </row>
    <row r="144" spans="1:11">
      <c r="A144" s="202" t="s">
        <v>134</v>
      </c>
      <c r="B144" s="202" t="s">
        <v>567</v>
      </c>
      <c r="C144" s="202" t="s">
        <v>567</v>
      </c>
      <c r="D144" s="202" t="s">
        <v>364</v>
      </c>
      <c r="E144" s="202" t="s">
        <v>568</v>
      </c>
      <c r="F144" s="202" t="s">
        <v>159</v>
      </c>
      <c r="G144" s="202"/>
      <c r="H144" s="202" t="s">
        <v>569</v>
      </c>
      <c r="I144" s="202" t="s">
        <v>570</v>
      </c>
      <c r="J144" s="223" t="str">
        <f t="shared" si="8"/>
        <v>GoldKorea Zinc Co., Ltd.</v>
      </c>
      <c r="K144" s="223" t="str">
        <f t="shared" si="9"/>
        <v>GoldKorea Zinc Co., Ltd.</v>
      </c>
    </row>
    <row r="145" spans="1:11">
      <c r="A145" s="202" t="s">
        <v>134</v>
      </c>
      <c r="B145" s="202" t="s">
        <v>571</v>
      </c>
      <c r="C145" s="202" t="s">
        <v>198</v>
      </c>
      <c r="D145" s="202" t="s">
        <v>193</v>
      </c>
      <c r="E145" s="202" t="s">
        <v>199</v>
      </c>
      <c r="F145" s="202" t="s">
        <v>159</v>
      </c>
      <c r="G145" s="202"/>
      <c r="H145" s="202" t="s">
        <v>200</v>
      </c>
      <c r="I145" s="202" t="s">
        <v>201</v>
      </c>
      <c r="J145" s="223" t="str">
        <f t="shared" si="8"/>
        <v>GoldKosak Seiren</v>
      </c>
      <c r="K145" s="223" t="str">
        <f t="shared" si="9"/>
        <v>GoldKosak Seiren</v>
      </c>
    </row>
    <row r="146" spans="1:11">
      <c r="A146" s="202" t="s">
        <v>134</v>
      </c>
      <c r="B146" s="202" t="s">
        <v>572</v>
      </c>
      <c r="C146" s="202" t="s">
        <v>552</v>
      </c>
      <c r="D146" s="202" t="s">
        <v>168</v>
      </c>
      <c r="E146" s="202" t="s">
        <v>553</v>
      </c>
      <c r="F146" s="202" t="s">
        <v>159</v>
      </c>
      <c r="G146" s="202"/>
      <c r="H146" s="202" t="s">
        <v>554</v>
      </c>
      <c r="I146" s="202" t="s">
        <v>256</v>
      </c>
      <c r="J146" s="223" t="str">
        <f t="shared" si="8"/>
        <v>GoldKUC</v>
      </c>
      <c r="K146" s="223" t="str">
        <f t="shared" si="9"/>
        <v>GoldKUC</v>
      </c>
    </row>
    <row r="147" spans="1:11">
      <c r="A147" s="202" t="s">
        <v>134</v>
      </c>
      <c r="B147" s="202" t="s">
        <v>573</v>
      </c>
      <c r="C147" s="202" t="s">
        <v>573</v>
      </c>
      <c r="D147" s="202" t="s">
        <v>273</v>
      </c>
      <c r="E147" s="202" t="s">
        <v>574</v>
      </c>
      <c r="F147" s="202" t="s">
        <v>159</v>
      </c>
      <c r="G147" s="202"/>
      <c r="H147" s="202" t="s">
        <v>575</v>
      </c>
      <c r="I147" s="202" t="s">
        <v>576</v>
      </c>
      <c r="J147" s="223" t="str">
        <f t="shared" si="8"/>
        <v>GoldKundan Care Products Ltd.</v>
      </c>
      <c r="K147" s="223" t="str">
        <f t="shared" si="9"/>
        <v>GoldKundan Care Products Ltd.</v>
      </c>
    </row>
    <row r="148" spans="1:11">
      <c r="A148" s="202" t="s">
        <v>134</v>
      </c>
      <c r="B148" s="202" t="s">
        <v>577</v>
      </c>
      <c r="C148" s="202" t="s">
        <v>577</v>
      </c>
      <c r="D148" s="202" t="s">
        <v>578</v>
      </c>
      <c r="E148" s="202" t="s">
        <v>579</v>
      </c>
      <c r="F148" s="202" t="s">
        <v>159</v>
      </c>
      <c r="G148" s="202"/>
      <c r="H148" s="202" t="s">
        <v>580</v>
      </c>
      <c r="I148" s="202" t="s">
        <v>581</v>
      </c>
      <c r="J148" s="223" t="str">
        <f t="shared" si="8"/>
        <v>GoldKyrgyzaltyn JSC</v>
      </c>
      <c r="K148" s="223" t="str">
        <f t="shared" si="9"/>
        <v>GoldKyrgyzaltyn JSC</v>
      </c>
    </row>
    <row r="149" spans="1:11">
      <c r="A149" s="202" t="s">
        <v>134</v>
      </c>
      <c r="B149" s="202" t="s">
        <v>582</v>
      </c>
      <c r="C149" s="202" t="s">
        <v>582</v>
      </c>
      <c r="D149" s="202" t="s">
        <v>388</v>
      </c>
      <c r="E149" s="202" t="s">
        <v>583</v>
      </c>
      <c r="F149" s="202" t="s">
        <v>159</v>
      </c>
      <c r="G149" s="202"/>
      <c r="H149" s="202" t="s">
        <v>584</v>
      </c>
      <c r="I149" s="202" t="s">
        <v>585</v>
      </c>
      <c r="J149" s="223" t="str">
        <f t="shared" si="8"/>
        <v>GoldKyshtym Copper-Electrolytic Plant ZAO</v>
      </c>
      <c r="K149" s="223" t="str">
        <f t="shared" si="9"/>
        <v>GoldKyshtym Copper-Electrolytic Plant ZAO</v>
      </c>
    </row>
    <row r="150" spans="1:11">
      <c r="A150" s="202" t="s">
        <v>134</v>
      </c>
      <c r="B150" s="202" t="s">
        <v>586</v>
      </c>
      <c r="C150" s="202" t="s">
        <v>303</v>
      </c>
      <c r="D150" s="202" t="s">
        <v>304</v>
      </c>
      <c r="E150" s="202" t="s">
        <v>305</v>
      </c>
      <c r="F150" s="202" t="s">
        <v>159</v>
      </c>
      <c r="G150" s="202"/>
      <c r="H150" s="202" t="s">
        <v>306</v>
      </c>
      <c r="I150" s="202" t="s">
        <v>307</v>
      </c>
      <c r="J150" s="223" t="str">
        <f t="shared" si="8"/>
        <v>GoldLa Caridad</v>
      </c>
      <c r="K150" s="223" t="str">
        <f t="shared" si="9"/>
        <v>GoldLa Caridad</v>
      </c>
    </row>
    <row r="151" spans="1:11">
      <c r="A151" s="202" t="s">
        <v>134</v>
      </c>
      <c r="B151" s="202" t="s">
        <v>587</v>
      </c>
      <c r="C151" s="202" t="s">
        <v>340</v>
      </c>
      <c r="D151" s="202" t="s">
        <v>237</v>
      </c>
      <c r="E151" s="202" t="s">
        <v>341</v>
      </c>
      <c r="F151" s="202" t="s">
        <v>159</v>
      </c>
      <c r="G151" s="202"/>
      <c r="H151" s="202" t="s">
        <v>342</v>
      </c>
      <c r="I151" s="202" t="s">
        <v>343</v>
      </c>
      <c r="J151" s="223" t="str">
        <f t="shared" si="8"/>
        <v>GoldLAIZHOU SHANDONG</v>
      </c>
      <c r="K151" s="223" t="str">
        <f t="shared" si="9"/>
        <v>GoldLAIZHOU SHANDONG</v>
      </c>
    </row>
    <row r="152" spans="1:11">
      <c r="A152" s="202" t="s">
        <v>134</v>
      </c>
      <c r="B152" s="202" t="s">
        <v>588</v>
      </c>
      <c r="C152" s="202" t="s">
        <v>588</v>
      </c>
      <c r="D152" s="202" t="s">
        <v>589</v>
      </c>
      <c r="E152" s="202" t="s">
        <v>590</v>
      </c>
      <c r="F152" s="202" t="s">
        <v>159</v>
      </c>
      <c r="G152" s="202"/>
      <c r="H152" s="202" t="s">
        <v>591</v>
      </c>
      <c r="I152" s="202" t="s">
        <v>592</v>
      </c>
      <c r="J152" s="223" t="str">
        <f t="shared" si="8"/>
        <v>GoldL'azurde Company For Jewelry</v>
      </c>
      <c r="K152" s="223" t="str">
        <f t="shared" si="9"/>
        <v>GoldL'azurde Company For Jewelry</v>
      </c>
    </row>
    <row r="153" spans="1:11">
      <c r="A153" s="202" t="s">
        <v>134</v>
      </c>
      <c r="B153" s="202" t="s">
        <v>593</v>
      </c>
      <c r="C153" s="202" t="s">
        <v>594</v>
      </c>
      <c r="D153" s="202" t="s">
        <v>237</v>
      </c>
      <c r="E153" s="202" t="s">
        <v>595</v>
      </c>
      <c r="F153" s="202" t="s">
        <v>159</v>
      </c>
      <c r="G153" s="202"/>
      <c r="H153" s="202" t="s">
        <v>596</v>
      </c>
      <c r="I153" s="202" t="s">
        <v>338</v>
      </c>
      <c r="J153" s="223" t="str">
        <f t="shared" si="8"/>
        <v>GoldLinBao Gold Mining</v>
      </c>
      <c r="K153" s="223" t="str">
        <f t="shared" si="9"/>
        <v>GoldLinBao Gold Mining</v>
      </c>
    </row>
    <row r="154" spans="1:11">
      <c r="A154" s="202" t="s">
        <v>134</v>
      </c>
      <c r="B154" s="202" t="s">
        <v>594</v>
      </c>
      <c r="C154" s="202" t="s">
        <v>594</v>
      </c>
      <c r="D154" s="202" t="s">
        <v>237</v>
      </c>
      <c r="E154" s="202" t="s">
        <v>595</v>
      </c>
      <c r="F154" s="202" t="s">
        <v>159</v>
      </c>
      <c r="G154" s="202"/>
      <c r="H154" s="202" t="s">
        <v>596</v>
      </c>
      <c r="I154" s="202" t="s">
        <v>338</v>
      </c>
      <c r="J154" s="223" t="str">
        <f t="shared" si="8"/>
        <v>GoldLingbao Gold Co., Ltd.</v>
      </c>
      <c r="K154" s="223" t="str">
        <f t="shared" si="9"/>
        <v>GoldLingbao Gold Co., Ltd.</v>
      </c>
    </row>
    <row r="155" spans="1:11">
      <c r="A155" s="202" t="s">
        <v>134</v>
      </c>
      <c r="B155" s="202" t="s">
        <v>597</v>
      </c>
      <c r="C155" s="202" t="s">
        <v>597</v>
      </c>
      <c r="D155" s="202" t="s">
        <v>237</v>
      </c>
      <c r="E155" s="202" t="s">
        <v>598</v>
      </c>
      <c r="F155" s="202" t="s">
        <v>159</v>
      </c>
      <c r="G155" s="202"/>
      <c r="H155" s="202" t="s">
        <v>596</v>
      </c>
      <c r="I155" s="202" t="s">
        <v>338</v>
      </c>
      <c r="J155" s="223" t="str">
        <f t="shared" si="8"/>
        <v>GoldLingbao Jinyuan Tonghui Refinery Co., Ltd.</v>
      </c>
      <c r="K155" s="223" t="str">
        <f t="shared" si="9"/>
        <v>GoldLingbao Jinyuan Tonghui Refinery Co., Ltd.</v>
      </c>
    </row>
    <row r="156" spans="1:11">
      <c r="A156" s="202" t="s">
        <v>134</v>
      </c>
      <c r="B156" s="202" t="s">
        <v>599</v>
      </c>
      <c r="C156" s="202" t="s">
        <v>599</v>
      </c>
      <c r="D156" s="202" t="s">
        <v>600</v>
      </c>
      <c r="E156" s="202" t="s">
        <v>601</v>
      </c>
      <c r="F156" s="202" t="s">
        <v>159</v>
      </c>
      <c r="G156" s="202"/>
      <c r="H156" s="202" t="s">
        <v>602</v>
      </c>
      <c r="I156" s="202" t="s">
        <v>602</v>
      </c>
      <c r="J156" s="223" t="str">
        <f t="shared" si="8"/>
        <v>GoldL'Orfebre S.A.</v>
      </c>
      <c r="K156" s="223" t="str">
        <f t="shared" si="9"/>
        <v>GoldL'Orfebre S.A.</v>
      </c>
    </row>
    <row r="157" spans="1:11">
      <c r="A157" s="202" t="s">
        <v>134</v>
      </c>
      <c r="B157" s="202" t="s">
        <v>603</v>
      </c>
      <c r="C157" s="202" t="s">
        <v>603</v>
      </c>
      <c r="D157" s="202" t="s">
        <v>364</v>
      </c>
      <c r="E157" s="202" t="s">
        <v>604</v>
      </c>
      <c r="F157" s="202" t="s">
        <v>159</v>
      </c>
      <c r="G157" s="202"/>
      <c r="H157" s="202" t="s">
        <v>605</v>
      </c>
      <c r="I157" s="202" t="s">
        <v>606</v>
      </c>
      <c r="J157" s="223" t="str">
        <f t="shared" si="8"/>
        <v>GoldLS-NIKKO Copper Inc.</v>
      </c>
      <c r="K157" s="223" t="str">
        <f t="shared" si="9"/>
        <v>GoldLS-NIKKO Copper Inc.</v>
      </c>
    </row>
    <row r="158" spans="1:11">
      <c r="A158" s="202" t="s">
        <v>134</v>
      </c>
      <c r="B158" s="202" t="s">
        <v>464</v>
      </c>
      <c r="C158" s="202" t="s">
        <v>464</v>
      </c>
      <c r="D158" s="202" t="s">
        <v>364</v>
      </c>
      <c r="E158" s="202" t="s">
        <v>465</v>
      </c>
      <c r="F158" s="202" t="s">
        <v>159</v>
      </c>
      <c r="G158" s="202"/>
      <c r="H158" s="202" t="s">
        <v>466</v>
      </c>
      <c r="I158" s="202" t="s">
        <v>467</v>
      </c>
      <c r="J158" s="223" t="str">
        <f t="shared" si="8"/>
        <v>GoldLT Metal Ltd.</v>
      </c>
      <c r="K158" s="223" t="str">
        <f t="shared" si="9"/>
        <v>GoldLT Metal Ltd.</v>
      </c>
    </row>
    <row r="159" spans="1:11">
      <c r="A159" s="202" t="s">
        <v>134</v>
      </c>
      <c r="B159" s="202" t="s">
        <v>607</v>
      </c>
      <c r="C159" s="202" t="s">
        <v>607</v>
      </c>
      <c r="D159" s="202" t="s">
        <v>237</v>
      </c>
      <c r="E159" s="202" t="s">
        <v>608</v>
      </c>
      <c r="F159" s="202" t="s">
        <v>159</v>
      </c>
      <c r="G159" s="202"/>
      <c r="H159" s="202" t="s">
        <v>609</v>
      </c>
      <c r="I159" s="202" t="s">
        <v>338</v>
      </c>
      <c r="J159" s="223" t="str">
        <f t="shared" si="8"/>
        <v>GoldLuoyang Zijin Yinhui Gold Refinery Co., Ltd.</v>
      </c>
      <c r="K159" s="223" t="str">
        <f t="shared" si="9"/>
        <v>GoldLuoyang Zijin Yinhui Gold Refinery Co., Ltd.</v>
      </c>
    </row>
    <row r="160" spans="1:11">
      <c r="A160" s="202" t="s">
        <v>134</v>
      </c>
      <c r="B160" s="202" t="s">
        <v>610</v>
      </c>
      <c r="C160" s="202" t="s">
        <v>607</v>
      </c>
      <c r="D160" s="202" t="s">
        <v>237</v>
      </c>
      <c r="E160" s="202" t="s">
        <v>608</v>
      </c>
      <c r="F160" s="202" t="s">
        <v>159</v>
      </c>
      <c r="G160" s="202"/>
      <c r="H160" s="202" t="s">
        <v>609</v>
      </c>
      <c r="I160" s="202" t="s">
        <v>338</v>
      </c>
      <c r="J160" s="223" t="str">
        <f t="shared" si="8"/>
        <v>GoldLuoyang Zijin Yinhui Gold Smelting</v>
      </c>
      <c r="K160" s="223" t="str">
        <f t="shared" si="9"/>
        <v>GoldLuoyang Zijin Yinhui Gold Smelting</v>
      </c>
    </row>
    <row r="161" spans="1:11">
      <c r="A161" s="202" t="s">
        <v>134</v>
      </c>
      <c r="B161" s="202" t="s">
        <v>611</v>
      </c>
      <c r="C161" s="202" t="s">
        <v>607</v>
      </c>
      <c r="D161" s="202" t="s">
        <v>237</v>
      </c>
      <c r="E161" s="202" t="s">
        <v>608</v>
      </c>
      <c r="F161" s="202" t="s">
        <v>159</v>
      </c>
      <c r="G161" s="202"/>
      <c r="H161" s="202" t="s">
        <v>609</v>
      </c>
      <c r="I161" s="202" t="s">
        <v>338</v>
      </c>
      <c r="J161" s="223" t="str">
        <f t="shared" si="8"/>
        <v>GoldLuoyang Zijin Yinhui Metal Smelt Co Ltd</v>
      </c>
      <c r="K161" s="223" t="str">
        <f t="shared" si="9"/>
        <v>GoldLuoyang Zijin Yinhui Metal Smelt Co Ltd</v>
      </c>
    </row>
    <row r="162" spans="1:11">
      <c r="A162" s="202" t="s">
        <v>134</v>
      </c>
      <c r="B162" s="202" t="s">
        <v>612</v>
      </c>
      <c r="C162" s="202" t="s">
        <v>612</v>
      </c>
      <c r="D162" s="202" t="s">
        <v>230</v>
      </c>
      <c r="E162" s="202" t="s">
        <v>613</v>
      </c>
      <c r="F162" s="202" t="s">
        <v>159</v>
      </c>
      <c r="G162" s="202"/>
      <c r="H162" s="202" t="s">
        <v>614</v>
      </c>
      <c r="I162" s="202" t="s">
        <v>615</v>
      </c>
      <c r="J162" s="223" t="str">
        <f t="shared" si="8"/>
        <v>GoldMarsam Metals</v>
      </c>
      <c r="K162" s="223" t="str">
        <f t="shared" si="9"/>
        <v>GoldMarsam Metals</v>
      </c>
    </row>
    <row r="163" spans="1:11">
      <c r="A163" s="202" t="s">
        <v>134</v>
      </c>
      <c r="B163" s="202" t="s">
        <v>616</v>
      </c>
      <c r="C163" s="202" t="s">
        <v>616</v>
      </c>
      <c r="D163" s="202" t="s">
        <v>168</v>
      </c>
      <c r="E163" s="202" t="s">
        <v>617</v>
      </c>
      <c r="F163" s="202" t="s">
        <v>159</v>
      </c>
      <c r="G163" s="202"/>
      <c r="H163" s="202" t="s">
        <v>618</v>
      </c>
      <c r="I163" s="202" t="s">
        <v>619</v>
      </c>
      <c r="J163" s="223" t="str">
        <f t="shared" si="8"/>
        <v>GoldMaterion</v>
      </c>
      <c r="K163" s="223" t="str">
        <f t="shared" si="9"/>
        <v>GoldMaterion</v>
      </c>
    </row>
    <row r="164" spans="1:11">
      <c r="A164" s="202" t="s">
        <v>134</v>
      </c>
      <c r="B164" s="202" t="s">
        <v>620</v>
      </c>
      <c r="C164" s="202" t="s">
        <v>620</v>
      </c>
      <c r="D164" s="202" t="s">
        <v>193</v>
      </c>
      <c r="E164" s="202" t="s">
        <v>621</v>
      </c>
      <c r="F164" s="202" t="s">
        <v>159</v>
      </c>
      <c r="G164" s="202"/>
      <c r="H164" s="202" t="s">
        <v>622</v>
      </c>
      <c r="I164" s="202" t="s">
        <v>379</v>
      </c>
      <c r="J164" s="223" t="str">
        <f t="shared" si="8"/>
        <v>GoldMatsuda Sangyo Co., Ltd.</v>
      </c>
      <c r="K164" s="223" t="str">
        <f t="shared" si="9"/>
        <v>GoldMatsuda Sangyo Co., Ltd.</v>
      </c>
    </row>
    <row r="165" spans="1:11">
      <c r="A165" s="202" t="s">
        <v>134</v>
      </c>
      <c r="B165" s="202" t="s">
        <v>623</v>
      </c>
      <c r="C165" s="202" t="s">
        <v>623</v>
      </c>
      <c r="D165" s="202" t="s">
        <v>273</v>
      </c>
      <c r="E165" s="202" t="s">
        <v>624</v>
      </c>
      <c r="F165" s="202" t="s">
        <v>159</v>
      </c>
      <c r="G165" s="202"/>
      <c r="H165" s="202" t="s">
        <v>625</v>
      </c>
      <c r="I165" s="202" t="s">
        <v>576</v>
      </c>
      <c r="J165" s="223" t="str">
        <f t="shared" si="8"/>
        <v>GoldMD Overseas</v>
      </c>
      <c r="K165" s="223" t="str">
        <f t="shared" si="9"/>
        <v>GoldMD Overseas</v>
      </c>
    </row>
    <row r="166" spans="1:11">
      <c r="A166" s="202" t="s">
        <v>134</v>
      </c>
      <c r="B166" s="202" t="s">
        <v>626</v>
      </c>
      <c r="C166" s="202" t="s">
        <v>627</v>
      </c>
      <c r="D166" s="202" t="s">
        <v>193</v>
      </c>
      <c r="E166" s="202" t="s">
        <v>628</v>
      </c>
      <c r="F166" s="202" t="s">
        <v>159</v>
      </c>
      <c r="G166" s="202"/>
      <c r="H166" s="202" t="s">
        <v>629</v>
      </c>
      <c r="I166" s="202" t="s">
        <v>630</v>
      </c>
      <c r="J166" s="223" t="str">
        <f t="shared" si="8"/>
        <v>GoldMEM(Sumitomo Group)</v>
      </c>
      <c r="K166" s="223" t="str">
        <f t="shared" si="9"/>
        <v>GoldMEM(Sumitomo Group)</v>
      </c>
    </row>
    <row r="167" spans="1:11">
      <c r="A167" s="202" t="s">
        <v>134</v>
      </c>
      <c r="B167" s="202" t="s">
        <v>631</v>
      </c>
      <c r="C167" s="202" t="s">
        <v>631</v>
      </c>
      <c r="D167" s="202" t="s">
        <v>268</v>
      </c>
      <c r="E167" s="202" t="s">
        <v>632</v>
      </c>
      <c r="F167" s="202" t="s">
        <v>159</v>
      </c>
      <c r="G167" s="202"/>
      <c r="H167" s="202" t="s">
        <v>633</v>
      </c>
      <c r="I167" s="202" t="s">
        <v>271</v>
      </c>
      <c r="J167" s="223" t="str">
        <f t="shared" si="8"/>
        <v>GoldMetal Concentrators SA (Pty) Ltd.</v>
      </c>
      <c r="K167" s="223" t="str">
        <f t="shared" si="9"/>
        <v>GoldMetal Concentrators SA (Pty) Ltd.</v>
      </c>
    </row>
    <row r="168" spans="1:11">
      <c r="A168" s="202" t="s">
        <v>134</v>
      </c>
      <c r="B168" s="202" t="s">
        <v>634</v>
      </c>
      <c r="C168" s="202" t="s">
        <v>635</v>
      </c>
      <c r="D168" s="202" t="s">
        <v>304</v>
      </c>
      <c r="E168" s="202" t="s">
        <v>636</v>
      </c>
      <c r="F168" s="202" t="s">
        <v>159</v>
      </c>
      <c r="G168" s="202"/>
      <c r="H168" s="202" t="s">
        <v>637</v>
      </c>
      <c r="I168" s="202" t="s">
        <v>638</v>
      </c>
      <c r="J168" s="223" t="str">
        <f t="shared" si="8"/>
        <v>GoldMetal?rgica Met-Mex Pe?oles, S.A. de C.V</v>
      </c>
      <c r="K168" s="223" t="str">
        <f t="shared" si="9"/>
        <v>GoldMetal?rgica Met-Mex Pe?oles, S.A. de C.V</v>
      </c>
    </row>
    <row r="169" spans="1:11">
      <c r="A169" s="202" t="s">
        <v>134</v>
      </c>
      <c r="B169" s="202" t="s">
        <v>639</v>
      </c>
      <c r="C169" s="202" t="s">
        <v>639</v>
      </c>
      <c r="D169" s="202" t="s">
        <v>168</v>
      </c>
      <c r="E169" s="202" t="s">
        <v>640</v>
      </c>
      <c r="F169" s="202" t="s">
        <v>159</v>
      </c>
      <c r="G169" s="202"/>
      <c r="H169" s="202" t="s">
        <v>641</v>
      </c>
      <c r="I169" s="202" t="s">
        <v>642</v>
      </c>
      <c r="J169" s="223" t="str">
        <f t="shared" si="8"/>
        <v>GoldMetallix Refining Inc.</v>
      </c>
      <c r="K169" s="223" t="str">
        <f t="shared" si="9"/>
        <v>GoldMetallix Refining Inc.</v>
      </c>
    </row>
    <row r="170" spans="1:11">
      <c r="A170" s="202" t="s">
        <v>134</v>
      </c>
      <c r="B170" s="202" t="s">
        <v>643</v>
      </c>
      <c r="C170" s="202" t="s">
        <v>644</v>
      </c>
      <c r="D170" s="202" t="s">
        <v>497</v>
      </c>
      <c r="E170" s="202" t="s">
        <v>645</v>
      </c>
      <c r="F170" s="202" t="s">
        <v>159</v>
      </c>
      <c r="G170" s="202"/>
      <c r="H170" s="202" t="s">
        <v>646</v>
      </c>
      <c r="I170" s="202" t="s">
        <v>500</v>
      </c>
      <c r="J170" s="223" t="str">
        <f t="shared" si="8"/>
        <v>GoldMetallurgie Hoboken Overpelt</v>
      </c>
      <c r="K170" s="223" t="str">
        <f t="shared" si="9"/>
        <v>GoldMetallurgie Hoboken Overpelt</v>
      </c>
    </row>
    <row r="171" spans="1:11">
      <c r="A171" s="202" t="s">
        <v>134</v>
      </c>
      <c r="B171" s="202" t="s">
        <v>647</v>
      </c>
      <c r="C171" s="202" t="s">
        <v>648</v>
      </c>
      <c r="D171" s="202" t="s">
        <v>244</v>
      </c>
      <c r="E171" s="202" t="s">
        <v>649</v>
      </c>
      <c r="F171" s="202" t="s">
        <v>159</v>
      </c>
      <c r="G171" s="202"/>
      <c r="H171" s="202" t="s">
        <v>650</v>
      </c>
      <c r="I171" s="202" t="s">
        <v>651</v>
      </c>
      <c r="J171" s="223" t="str">
        <f t="shared" si="8"/>
        <v>GoldMetalor Switzerland</v>
      </c>
      <c r="K171" s="223" t="str">
        <f t="shared" si="9"/>
        <v>GoldMetalor Switzerland</v>
      </c>
    </row>
    <row r="172" spans="1:11">
      <c r="A172" s="202" t="s">
        <v>134</v>
      </c>
      <c r="B172" s="202" t="s">
        <v>652</v>
      </c>
      <c r="C172" s="202" t="s">
        <v>652</v>
      </c>
      <c r="D172" s="202" t="s">
        <v>237</v>
      </c>
      <c r="E172" s="202" t="s">
        <v>653</v>
      </c>
      <c r="F172" s="202" t="s">
        <v>159</v>
      </c>
      <c r="G172" s="202"/>
      <c r="H172" s="202" t="s">
        <v>654</v>
      </c>
      <c r="I172" s="202" t="s">
        <v>481</v>
      </c>
      <c r="J172" s="223" t="str">
        <f t="shared" si="8"/>
        <v>GoldMetalor Technologies (Hong Kong) Ltd.</v>
      </c>
      <c r="K172" s="223" t="str">
        <f t="shared" si="9"/>
        <v>GoldMetalor Technologies (Hong Kong) Ltd.</v>
      </c>
    </row>
    <row r="173" spans="1:11">
      <c r="A173" s="202" t="s">
        <v>134</v>
      </c>
      <c r="B173" s="202" t="s">
        <v>655</v>
      </c>
      <c r="C173" s="202" t="s">
        <v>655</v>
      </c>
      <c r="D173" s="202" t="s">
        <v>656</v>
      </c>
      <c r="E173" s="202" t="s">
        <v>657</v>
      </c>
      <c r="F173" s="202" t="s">
        <v>159</v>
      </c>
      <c r="G173" s="202"/>
      <c r="H173" s="202" t="s">
        <v>658</v>
      </c>
      <c r="I173" s="202" t="s">
        <v>659</v>
      </c>
      <c r="J173" s="223" t="str">
        <f t="shared" si="8"/>
        <v>GoldMetalor Technologies (Singapore) Pte., Ltd.</v>
      </c>
      <c r="K173" s="223" t="str">
        <f t="shared" si="9"/>
        <v>GoldMetalor Technologies (Singapore) Pte., Ltd.</v>
      </c>
    </row>
    <row r="174" spans="1:11">
      <c r="A174" s="202" t="s">
        <v>134</v>
      </c>
      <c r="B174" s="202" t="s">
        <v>660</v>
      </c>
      <c r="C174" s="202" t="s">
        <v>660</v>
      </c>
      <c r="D174" s="202" t="s">
        <v>237</v>
      </c>
      <c r="E174" s="202" t="s">
        <v>661</v>
      </c>
      <c r="F174" s="202" t="s">
        <v>159</v>
      </c>
      <c r="G174" s="202"/>
      <c r="H174" s="202" t="s">
        <v>662</v>
      </c>
      <c r="I174" s="202" t="s">
        <v>371</v>
      </c>
      <c r="J174" s="223" t="str">
        <f t="shared" si="8"/>
        <v>GoldMetalor Technologies (Suzhou) Ltd.</v>
      </c>
      <c r="K174" s="223" t="str">
        <f t="shared" si="9"/>
        <v>GoldMetalor Technologies (Suzhou) Ltd.</v>
      </c>
    </row>
    <row r="175" spans="1:11">
      <c r="A175" s="202" t="s">
        <v>134</v>
      </c>
      <c r="B175" s="202" t="s">
        <v>648</v>
      </c>
      <c r="C175" s="202" t="s">
        <v>648</v>
      </c>
      <c r="D175" s="202" t="s">
        <v>244</v>
      </c>
      <c r="E175" s="202" t="s">
        <v>649</v>
      </c>
      <c r="F175" s="202" t="s">
        <v>159</v>
      </c>
      <c r="G175" s="202"/>
      <c r="H175" s="202" t="s">
        <v>650</v>
      </c>
      <c r="I175" s="202" t="s">
        <v>651</v>
      </c>
      <c r="J175" s="223" t="str">
        <f t="shared" si="8"/>
        <v>GoldMetalor Technologies S.A.</v>
      </c>
      <c r="K175" s="223" t="str">
        <f t="shared" si="9"/>
        <v>GoldMetalor Technologies S.A.</v>
      </c>
    </row>
    <row r="176" spans="1:11">
      <c r="A176" s="202" t="s">
        <v>134</v>
      </c>
      <c r="B176" s="202" t="s">
        <v>663</v>
      </c>
      <c r="C176" s="202" t="s">
        <v>663</v>
      </c>
      <c r="D176" s="202" t="s">
        <v>168</v>
      </c>
      <c r="E176" s="202" t="s">
        <v>664</v>
      </c>
      <c r="F176" s="202" t="s">
        <v>159</v>
      </c>
      <c r="G176" s="202"/>
      <c r="H176" s="202" t="s">
        <v>665</v>
      </c>
      <c r="I176" s="202" t="s">
        <v>666</v>
      </c>
      <c r="J176" s="223" t="str">
        <f t="shared" si="8"/>
        <v>GoldMetalor USA Refining Corporation</v>
      </c>
      <c r="K176" s="223" t="str">
        <f t="shared" si="9"/>
        <v>GoldMetalor USA Refining Corporation</v>
      </c>
    </row>
    <row r="177" spans="1:11">
      <c r="A177" s="202" t="s">
        <v>134</v>
      </c>
      <c r="B177" s="202" t="s">
        <v>635</v>
      </c>
      <c r="C177" s="202" t="s">
        <v>635</v>
      </c>
      <c r="D177" s="202" t="s">
        <v>304</v>
      </c>
      <c r="E177" s="202" t="s">
        <v>636</v>
      </c>
      <c r="F177" s="202" t="s">
        <v>159</v>
      </c>
      <c r="G177" s="202"/>
      <c r="H177" s="202" t="s">
        <v>637</v>
      </c>
      <c r="I177" s="202" t="s">
        <v>638</v>
      </c>
      <c r="J177" s="223" t="str">
        <f t="shared" si="8"/>
        <v>GoldMetalurgica Met-Mex Penoles S.A. De C.V.</v>
      </c>
      <c r="K177" s="223" t="str">
        <f t="shared" si="9"/>
        <v>GoldMetalurgica Met-Mex Penoles S.A. De C.V.</v>
      </c>
    </row>
    <row r="178" spans="1:11">
      <c r="A178" s="202" t="s">
        <v>134</v>
      </c>
      <c r="B178" s="202" t="s">
        <v>667</v>
      </c>
      <c r="C178" s="202" t="s">
        <v>635</v>
      </c>
      <c r="D178" s="202" t="s">
        <v>304</v>
      </c>
      <c r="E178" s="202" t="s">
        <v>636</v>
      </c>
      <c r="F178" s="202" t="s">
        <v>159</v>
      </c>
      <c r="G178" s="202"/>
      <c r="H178" s="202" t="s">
        <v>637</v>
      </c>
      <c r="I178" s="202" t="s">
        <v>638</v>
      </c>
      <c r="J178" s="223" t="str">
        <f t="shared" si="8"/>
        <v>GoldMetalúrgica Met-Mex Peñoles S.A. De C.V.</v>
      </c>
      <c r="K178" s="223" t="str">
        <f t="shared" si="9"/>
        <v>GoldMetalúrgica Met-Mex Peñoles S.A. De C.V.</v>
      </c>
    </row>
    <row r="179" spans="1:11">
      <c r="A179" s="202" t="s">
        <v>134</v>
      </c>
      <c r="B179" s="202" t="s">
        <v>668</v>
      </c>
      <c r="C179" s="202" t="s">
        <v>635</v>
      </c>
      <c r="D179" s="202" t="s">
        <v>304</v>
      </c>
      <c r="E179" s="202" t="s">
        <v>636</v>
      </c>
      <c r="F179" s="202" t="s">
        <v>159</v>
      </c>
      <c r="G179" s="202"/>
      <c r="H179" s="202" t="s">
        <v>637</v>
      </c>
      <c r="I179" s="202" t="s">
        <v>638</v>
      </c>
      <c r="J179" s="223" t="str">
        <f t="shared" si="8"/>
        <v>GoldMet-Mex Pe?oles, S.A.</v>
      </c>
      <c r="K179" s="223" t="str">
        <f t="shared" si="9"/>
        <v>GoldMet-Mex Pe?oles, S.A.</v>
      </c>
    </row>
    <row r="180" spans="1:11">
      <c r="A180" s="202" t="s">
        <v>134</v>
      </c>
      <c r="B180" s="202" t="s">
        <v>669</v>
      </c>
      <c r="C180" s="202" t="s">
        <v>635</v>
      </c>
      <c r="D180" s="202" t="s">
        <v>304</v>
      </c>
      <c r="E180" s="202" t="s">
        <v>636</v>
      </c>
      <c r="F180" s="202" t="s">
        <v>159</v>
      </c>
      <c r="G180" s="202"/>
      <c r="H180" s="202" t="s">
        <v>637</v>
      </c>
      <c r="I180" s="202" t="s">
        <v>638</v>
      </c>
      <c r="J180" s="223" t="str">
        <f t="shared" si="8"/>
        <v>GoldMet-Mex Penoles, S.A.</v>
      </c>
      <c r="K180" s="223" t="str">
        <f t="shared" si="9"/>
        <v>GoldMet-Mex Penoles, S.A.</v>
      </c>
    </row>
    <row r="181" spans="1:11">
      <c r="A181" s="202" t="s">
        <v>134</v>
      </c>
      <c r="B181" s="202" t="s">
        <v>670</v>
      </c>
      <c r="C181" s="202" t="s">
        <v>670</v>
      </c>
      <c r="D181" s="202" t="s">
        <v>193</v>
      </c>
      <c r="E181" s="202" t="s">
        <v>671</v>
      </c>
      <c r="F181" s="202" t="s">
        <v>159</v>
      </c>
      <c r="G181" s="202"/>
      <c r="H181" s="202" t="s">
        <v>196</v>
      </c>
      <c r="I181" s="202" t="s">
        <v>196</v>
      </c>
      <c r="J181" s="223" t="str">
        <f t="shared" si="8"/>
        <v>GoldMitsubishi Materials Corporation</v>
      </c>
      <c r="K181" s="223" t="str">
        <f t="shared" si="9"/>
        <v>GoldMitsubishi Materials Corporation</v>
      </c>
    </row>
    <row r="182" spans="1:11">
      <c r="A182" s="202" t="s">
        <v>134</v>
      </c>
      <c r="B182" s="202" t="s">
        <v>672</v>
      </c>
      <c r="C182" s="202" t="s">
        <v>673</v>
      </c>
      <c r="D182" s="202" t="s">
        <v>193</v>
      </c>
      <c r="E182" s="202" t="s">
        <v>674</v>
      </c>
      <c r="F182" s="202" t="s">
        <v>159</v>
      </c>
      <c r="G182" s="202"/>
      <c r="H182" s="202" t="s">
        <v>675</v>
      </c>
      <c r="I182" s="202" t="s">
        <v>676</v>
      </c>
      <c r="J182" s="223" t="str">
        <f t="shared" si="8"/>
        <v>GoldMitsui Kinzoku Co., Ltd.</v>
      </c>
      <c r="K182" s="223" t="str">
        <f t="shared" si="9"/>
        <v>GoldMitsui Kinzoku Co., Ltd.</v>
      </c>
    </row>
    <row r="183" spans="1:11">
      <c r="A183" s="202" t="s">
        <v>134</v>
      </c>
      <c r="B183" s="202" t="s">
        <v>673</v>
      </c>
      <c r="C183" s="202" t="s">
        <v>673</v>
      </c>
      <c r="D183" s="202" t="s">
        <v>193</v>
      </c>
      <c r="E183" s="202" t="s">
        <v>674</v>
      </c>
      <c r="F183" s="202" t="s">
        <v>159</v>
      </c>
      <c r="G183" s="202"/>
      <c r="H183" s="202" t="s">
        <v>675</v>
      </c>
      <c r="I183" s="202" t="s">
        <v>676</v>
      </c>
      <c r="J183" s="223" t="str">
        <f t="shared" si="8"/>
        <v>GoldMitsui Mining and Smelting Co., Ltd.</v>
      </c>
      <c r="K183" s="223" t="str">
        <f t="shared" si="9"/>
        <v>GoldMitsui Mining and Smelting Co., Ltd.</v>
      </c>
    </row>
    <row r="184" spans="1:11">
      <c r="A184" s="202" t="s">
        <v>134</v>
      </c>
      <c r="B184" s="202" t="s">
        <v>677</v>
      </c>
      <c r="C184" s="202" t="s">
        <v>677</v>
      </c>
      <c r="D184" s="202" t="s">
        <v>244</v>
      </c>
      <c r="E184" s="202" t="s">
        <v>678</v>
      </c>
      <c r="F184" s="202" t="s">
        <v>159</v>
      </c>
      <c r="G184" s="202"/>
      <c r="H184" s="202" t="s">
        <v>679</v>
      </c>
      <c r="I184" s="202" t="s">
        <v>680</v>
      </c>
      <c r="J184" s="223" t="str">
        <f t="shared" si="8"/>
        <v>GoldMKS PAMP SA</v>
      </c>
      <c r="K184" s="223" t="str">
        <f t="shared" si="9"/>
        <v>GoldMKS PAMP SA</v>
      </c>
    </row>
    <row r="185" spans="1:11">
      <c r="A185" s="202" t="s">
        <v>134</v>
      </c>
      <c r="B185" s="202" t="s">
        <v>681</v>
      </c>
      <c r="C185" s="202" t="s">
        <v>681</v>
      </c>
      <c r="D185" s="202" t="s">
        <v>273</v>
      </c>
      <c r="E185" s="202" t="s">
        <v>682</v>
      </c>
      <c r="F185" s="202" t="s">
        <v>159</v>
      </c>
      <c r="G185" s="202"/>
      <c r="H185" s="202" t="s">
        <v>683</v>
      </c>
      <c r="I185" s="202" t="s">
        <v>684</v>
      </c>
      <c r="J185" s="223" t="str">
        <f t="shared" si="8"/>
        <v>GoldMMTC-PAMP India Pvt., Ltd.</v>
      </c>
      <c r="K185" s="223" t="str">
        <f t="shared" si="9"/>
        <v>GoldMMTC-PAMP India Pvt., Ltd.</v>
      </c>
    </row>
    <row r="186" spans="1:11">
      <c r="A186" s="202" t="s">
        <v>134</v>
      </c>
      <c r="B186" s="202" t="s">
        <v>685</v>
      </c>
      <c r="C186" s="202" t="s">
        <v>685</v>
      </c>
      <c r="D186" s="202" t="s">
        <v>686</v>
      </c>
      <c r="E186" s="202" t="s">
        <v>687</v>
      </c>
      <c r="F186" s="202" t="s">
        <v>159</v>
      </c>
      <c r="G186" s="202"/>
      <c r="H186" s="202" t="s">
        <v>688</v>
      </c>
      <c r="I186" s="202" t="s">
        <v>689</v>
      </c>
      <c r="J186" s="223" t="str">
        <f t="shared" si="8"/>
        <v>GoldModeltech Sdn Bhd</v>
      </c>
      <c r="K186" s="223" t="str">
        <f t="shared" si="9"/>
        <v>GoldModeltech Sdn Bhd</v>
      </c>
    </row>
    <row r="187" spans="1:11">
      <c r="A187" s="202" t="s">
        <v>134</v>
      </c>
      <c r="B187" s="202" t="s">
        <v>690</v>
      </c>
      <c r="C187" s="202" t="s">
        <v>690</v>
      </c>
      <c r="D187" s="202" t="s">
        <v>691</v>
      </c>
      <c r="E187" s="202" t="s">
        <v>692</v>
      </c>
      <c r="F187" s="202" t="s">
        <v>159</v>
      </c>
      <c r="G187" s="202"/>
      <c r="H187" s="202" t="s">
        <v>693</v>
      </c>
      <c r="I187" s="202" t="s">
        <v>694</v>
      </c>
      <c r="J187" s="223" t="str">
        <f t="shared" si="8"/>
        <v>GoldMorris and Watson</v>
      </c>
      <c r="K187" s="223" t="str">
        <f t="shared" si="9"/>
        <v>GoldMorris and Watson</v>
      </c>
    </row>
    <row r="188" spans="1:11">
      <c r="A188" s="202" t="s">
        <v>134</v>
      </c>
      <c r="B188" s="202" t="s">
        <v>405</v>
      </c>
      <c r="C188" s="202" t="s">
        <v>405</v>
      </c>
      <c r="D188" s="202" t="s">
        <v>388</v>
      </c>
      <c r="E188" s="202" t="s">
        <v>406</v>
      </c>
      <c r="F188" s="202" t="s">
        <v>159</v>
      </c>
      <c r="G188" s="202"/>
      <c r="H188" s="202" t="s">
        <v>407</v>
      </c>
      <c r="I188" s="202" t="s">
        <v>408</v>
      </c>
      <c r="J188" s="223" t="str">
        <f t="shared" si="8"/>
        <v>GoldMoscow Special Alloys Processing Plant</v>
      </c>
      <c r="K188" s="223" t="str">
        <f t="shared" si="9"/>
        <v>GoldMoscow Special Alloys Processing Plant</v>
      </c>
    </row>
    <row r="189" spans="1:11">
      <c r="A189" s="202" t="s">
        <v>134</v>
      </c>
      <c r="B189" s="202" t="s">
        <v>695</v>
      </c>
      <c r="C189" s="202" t="s">
        <v>695</v>
      </c>
      <c r="D189" s="202" t="s">
        <v>263</v>
      </c>
      <c r="E189" s="202" t="s">
        <v>696</v>
      </c>
      <c r="F189" s="202" t="s">
        <v>159</v>
      </c>
      <c r="G189" s="202"/>
      <c r="H189" s="202" t="s">
        <v>697</v>
      </c>
      <c r="I189" s="202" t="s">
        <v>266</v>
      </c>
      <c r="J189" s="223" t="str">
        <f t="shared" si="8"/>
        <v>GoldNadir Metal Rafineri San. Ve Tic. A.S.</v>
      </c>
      <c r="K189" s="223" t="str">
        <f t="shared" si="9"/>
        <v>GoldNadir Metal Rafineri San. Ve Tic. A.S.</v>
      </c>
    </row>
    <row r="190" spans="1:11">
      <c r="A190" s="202" t="s">
        <v>134</v>
      </c>
      <c r="B190" s="202" t="s">
        <v>698</v>
      </c>
      <c r="C190" s="202" t="s">
        <v>695</v>
      </c>
      <c r="D190" s="202" t="s">
        <v>263</v>
      </c>
      <c r="E190" s="202" t="s">
        <v>696</v>
      </c>
      <c r="F190" s="202" t="s">
        <v>159</v>
      </c>
      <c r="G190" s="202"/>
      <c r="H190" s="202" t="s">
        <v>697</v>
      </c>
      <c r="I190" s="202" t="s">
        <v>266</v>
      </c>
      <c r="J190" s="223" t="str">
        <f t="shared" si="8"/>
        <v>GoldNadir Metal Rafineri San. Ve Tic. A.Ş.</v>
      </c>
      <c r="K190" s="223" t="str">
        <f t="shared" si="9"/>
        <v>GoldNadir Metal Rafineri San. Ve Tic. A.Ş.</v>
      </c>
    </row>
    <row r="191" spans="1:11">
      <c r="A191" s="202" t="s">
        <v>134</v>
      </c>
      <c r="B191" s="202" t="s">
        <v>699</v>
      </c>
      <c r="C191" s="202" t="s">
        <v>699</v>
      </c>
      <c r="D191" s="202" t="s">
        <v>219</v>
      </c>
      <c r="E191" s="202" t="s">
        <v>700</v>
      </c>
      <c r="F191" s="202" t="s">
        <v>159</v>
      </c>
      <c r="G191" s="202"/>
      <c r="H191" s="202" t="s">
        <v>701</v>
      </c>
      <c r="I191" s="202" t="s">
        <v>702</v>
      </c>
      <c r="J191" s="223" t="str">
        <f t="shared" si="8"/>
        <v>GoldNavoi Mining and Metallurgical Combinat</v>
      </c>
      <c r="K191" s="223" t="str">
        <f t="shared" si="9"/>
        <v>GoldNavoi Mining and Metallurgical Combinat</v>
      </c>
    </row>
    <row r="192" spans="1:11">
      <c r="A192" s="202" t="s">
        <v>134</v>
      </c>
      <c r="B192" s="202" t="s">
        <v>703</v>
      </c>
      <c r="C192" s="202" t="s">
        <v>703</v>
      </c>
      <c r="D192" s="202" t="s">
        <v>364</v>
      </c>
      <c r="E192" s="202" t="s">
        <v>704</v>
      </c>
      <c r="F192" s="202" t="s">
        <v>159</v>
      </c>
      <c r="G192" s="202"/>
      <c r="H192" s="202" t="s">
        <v>705</v>
      </c>
      <c r="I192" s="202" t="s">
        <v>367</v>
      </c>
      <c r="J192" s="223" t="str">
        <f t="shared" si="8"/>
        <v>GoldNH Recytech Company</v>
      </c>
      <c r="K192" s="223" t="str">
        <f t="shared" si="9"/>
        <v>GoldNH Recytech Company</v>
      </c>
    </row>
    <row r="193" spans="1:11">
      <c r="A193" s="202" t="s">
        <v>134</v>
      </c>
      <c r="B193" s="202" t="s">
        <v>706</v>
      </c>
      <c r="C193" s="202" t="s">
        <v>706</v>
      </c>
      <c r="D193" s="202" t="s">
        <v>193</v>
      </c>
      <c r="E193" s="202" t="s">
        <v>707</v>
      </c>
      <c r="F193" s="202" t="s">
        <v>159</v>
      </c>
      <c r="G193" s="202"/>
      <c r="H193" s="202" t="s">
        <v>708</v>
      </c>
      <c r="I193" s="202" t="s">
        <v>709</v>
      </c>
      <c r="J193" s="223" t="str">
        <f t="shared" si="8"/>
        <v>GoldNihon Material Co., Ltd.</v>
      </c>
      <c r="K193" s="223" t="str">
        <f t="shared" si="9"/>
        <v>GoldNihon Material Co., Ltd.</v>
      </c>
    </row>
    <row r="194" spans="1:11">
      <c r="A194" s="202" t="s">
        <v>134</v>
      </c>
      <c r="B194" s="202" t="s">
        <v>710</v>
      </c>
      <c r="C194" s="202" t="s">
        <v>706</v>
      </c>
      <c r="D194" s="202" t="s">
        <v>193</v>
      </c>
      <c r="E194" s="202" t="s">
        <v>707</v>
      </c>
      <c r="F194" s="202" t="s">
        <v>159</v>
      </c>
      <c r="G194" s="202"/>
      <c r="H194" s="202" t="s">
        <v>708</v>
      </c>
      <c r="I194" s="202" t="s">
        <v>709</v>
      </c>
      <c r="J194" s="223" t="str">
        <f t="shared" si="8"/>
        <v>GoldNohon Material Corporation</v>
      </c>
      <c r="K194" s="223" t="str">
        <f t="shared" si="9"/>
        <v>GoldNohon Material Corporation</v>
      </c>
    </row>
    <row r="195" spans="1:11">
      <c r="A195" s="202" t="s">
        <v>134</v>
      </c>
      <c r="B195" s="202" t="s">
        <v>711</v>
      </c>
      <c r="C195" s="202" t="s">
        <v>277</v>
      </c>
      <c r="D195" s="202" t="s">
        <v>182</v>
      </c>
      <c r="E195" s="202" t="s">
        <v>278</v>
      </c>
      <c r="F195" s="202" t="s">
        <v>159</v>
      </c>
      <c r="G195" s="202"/>
      <c r="H195" s="202" t="s">
        <v>279</v>
      </c>
      <c r="I195" s="202" t="s">
        <v>279</v>
      </c>
      <c r="J195" s="223" t="str">
        <f t="shared" si="8"/>
        <v>GoldNorddeutsche Affinererie AG</v>
      </c>
      <c r="K195" s="223" t="str">
        <f t="shared" si="9"/>
        <v>GoldNorddeutsche Affinererie AG</v>
      </c>
    </row>
    <row r="196" spans="1:11">
      <c r="A196" s="202" t="s">
        <v>134</v>
      </c>
      <c r="B196" s="202" t="s">
        <v>712</v>
      </c>
      <c r="C196" s="202" t="s">
        <v>712</v>
      </c>
      <c r="D196" s="202" t="s">
        <v>713</v>
      </c>
      <c r="E196" s="202" t="s">
        <v>714</v>
      </c>
      <c r="F196" s="202" t="s">
        <v>159</v>
      </c>
      <c r="G196" s="202"/>
      <c r="H196" s="202" t="s">
        <v>715</v>
      </c>
      <c r="I196" s="202" t="s">
        <v>716</v>
      </c>
      <c r="J196" s="223" t="str">
        <f t="shared" si="8"/>
        <v>GoldOgussa Osterreichische Gold- und Silber-Scheideanstalt GmbH</v>
      </c>
      <c r="K196" s="223" t="str">
        <f t="shared" si="9"/>
        <v>GoldOgussa Osterreichische Gold- und Silber-Scheideanstalt GmbH</v>
      </c>
    </row>
    <row r="197" spans="1:11">
      <c r="A197" s="202" t="s">
        <v>134</v>
      </c>
      <c r="B197" s="202" t="s">
        <v>717</v>
      </c>
      <c r="C197" s="202" t="s">
        <v>712</v>
      </c>
      <c r="D197" s="202" t="s">
        <v>713</v>
      </c>
      <c r="E197" s="202" t="s">
        <v>714</v>
      </c>
      <c r="F197" s="202" t="s">
        <v>159</v>
      </c>
      <c r="G197" s="202"/>
      <c r="H197" s="202" t="s">
        <v>715</v>
      </c>
      <c r="I197" s="202" t="s">
        <v>716</v>
      </c>
      <c r="J197" s="223" t="str">
        <f t="shared" si="8"/>
        <v>GoldÖgussa Österreichische Gold- und Silber-Scheideanstalt GmbH</v>
      </c>
      <c r="K197" s="223" t="str">
        <f t="shared" si="9"/>
        <v>GoldÖgussa Österreichische Gold- und Silber-Scheideanstalt GmbH</v>
      </c>
    </row>
    <row r="198" spans="1:11">
      <c r="A198" s="202" t="s">
        <v>134</v>
      </c>
      <c r="B198" s="202" t="s">
        <v>718</v>
      </c>
      <c r="C198" s="202" t="s">
        <v>718</v>
      </c>
      <c r="D198" s="202" t="s">
        <v>193</v>
      </c>
      <c r="E198" s="202" t="s">
        <v>719</v>
      </c>
      <c r="F198" s="202" t="s">
        <v>159</v>
      </c>
      <c r="G198" s="202"/>
      <c r="H198" s="202" t="s">
        <v>720</v>
      </c>
      <c r="I198" s="202" t="s">
        <v>721</v>
      </c>
      <c r="J198" s="223" t="str">
        <f t="shared" si="8"/>
        <v>GoldOhura Precious Metal Industry Co., Ltd.</v>
      </c>
      <c r="K198" s="223" t="str">
        <f t="shared" si="9"/>
        <v>GoldOhura Precious Metal Industry Co., Ltd.</v>
      </c>
    </row>
    <row r="199" spans="1:11">
      <c r="A199" s="202" t="s">
        <v>134</v>
      </c>
      <c r="B199" s="202" t="s">
        <v>722</v>
      </c>
      <c r="C199" s="202" t="s">
        <v>722</v>
      </c>
      <c r="D199" s="202" t="s">
        <v>388</v>
      </c>
      <c r="E199" s="202" t="s">
        <v>723</v>
      </c>
      <c r="F199" s="202" t="s">
        <v>159</v>
      </c>
      <c r="G199" s="202"/>
      <c r="H199" s="202" t="s">
        <v>724</v>
      </c>
      <c r="I199" s="202" t="s">
        <v>725</v>
      </c>
      <c r="J199" s="223" t="str">
        <f t="shared" ref="J199:J262" si="10">A199&amp;B199</f>
        <v>GoldOJSC "The Gulidov Krasnoyarsk Non-Ferrous Metals Plant" (OJSC Krastsvetmet)</v>
      </c>
      <c r="K199" s="223" t="str">
        <f t="shared" ref="K199:K262" si="11">A199&amp;B199</f>
        <v>GoldOJSC "The Gulidov Krasnoyarsk Non-Ferrous Metals Plant" (OJSC Krastsvetmet)</v>
      </c>
    </row>
    <row r="200" spans="1:11">
      <c r="A200" s="202" t="s">
        <v>134</v>
      </c>
      <c r="B200" s="202" t="s">
        <v>726</v>
      </c>
      <c r="C200" s="202" t="s">
        <v>722</v>
      </c>
      <c r="D200" s="202" t="s">
        <v>388</v>
      </c>
      <c r="E200" s="202" t="s">
        <v>723</v>
      </c>
      <c r="F200" s="202" t="s">
        <v>159</v>
      </c>
      <c r="G200" s="202"/>
      <c r="H200" s="202" t="s">
        <v>724</v>
      </c>
      <c r="I200" s="202" t="s">
        <v>725</v>
      </c>
      <c r="J200" s="223" t="str">
        <f t="shared" si="10"/>
        <v>GoldOJSC Krastsvetmet</v>
      </c>
      <c r="K200" s="223" t="str">
        <f t="shared" si="11"/>
        <v>GoldOJSC Krastsvetmet</v>
      </c>
    </row>
    <row r="201" spans="1:11">
      <c r="A201" s="202" t="s">
        <v>134</v>
      </c>
      <c r="B201" s="202" t="s">
        <v>727</v>
      </c>
      <c r="C201" s="202" t="s">
        <v>415</v>
      </c>
      <c r="D201" s="202" t="s">
        <v>388</v>
      </c>
      <c r="E201" s="202" t="s">
        <v>416</v>
      </c>
      <c r="F201" s="202" t="s">
        <v>159</v>
      </c>
      <c r="G201" s="202"/>
      <c r="H201" s="202" t="s">
        <v>417</v>
      </c>
      <c r="I201" s="202" t="s">
        <v>418</v>
      </c>
      <c r="J201" s="223" t="str">
        <f t="shared" si="10"/>
        <v>GoldOJSC Novosibirsk Refinery</v>
      </c>
      <c r="K201" s="223" t="str">
        <f t="shared" si="11"/>
        <v>GoldOJSC Novosibirsk Refinery</v>
      </c>
    </row>
    <row r="202" spans="1:11">
      <c r="A202" s="202" t="s">
        <v>134</v>
      </c>
      <c r="B202" s="202" t="s">
        <v>728</v>
      </c>
      <c r="C202" s="202" t="s">
        <v>677</v>
      </c>
      <c r="D202" s="202" t="s">
        <v>244</v>
      </c>
      <c r="E202" s="202" t="s">
        <v>678</v>
      </c>
      <c r="F202" s="202" t="s">
        <v>159</v>
      </c>
      <c r="G202" s="202"/>
      <c r="H202" s="202" t="s">
        <v>679</v>
      </c>
      <c r="I202" s="202" t="s">
        <v>680</v>
      </c>
      <c r="J202" s="223" t="str">
        <f t="shared" si="10"/>
        <v>GoldPAMP S.A.</v>
      </c>
      <c r="K202" s="223" t="str">
        <f t="shared" si="11"/>
        <v>GoldPAMP S.A.</v>
      </c>
    </row>
    <row r="203" spans="1:11">
      <c r="A203" s="202" t="s">
        <v>134</v>
      </c>
      <c r="B203" s="202" t="s">
        <v>729</v>
      </c>
      <c r="C203" s="202" t="s">
        <v>533</v>
      </c>
      <c r="D203" s="202" t="s">
        <v>193</v>
      </c>
      <c r="E203" s="202" t="s">
        <v>534</v>
      </c>
      <c r="F203" s="202" t="s">
        <v>159</v>
      </c>
      <c r="G203" s="202"/>
      <c r="H203" s="202" t="s">
        <v>535</v>
      </c>
      <c r="I203" s="202" t="s">
        <v>536</v>
      </c>
      <c r="J203" s="223" t="str">
        <f t="shared" si="10"/>
        <v>GoldPan Pacific Copper Co Ltd.</v>
      </c>
      <c r="K203" s="223" t="str">
        <f t="shared" si="11"/>
        <v>GoldPan Pacific Copper Co Ltd.</v>
      </c>
    </row>
    <row r="204" spans="1:11">
      <c r="A204" s="202" t="s">
        <v>134</v>
      </c>
      <c r="B204" s="202" t="s">
        <v>730</v>
      </c>
      <c r="C204" s="202" t="s">
        <v>730</v>
      </c>
      <c r="D204" s="202" t="s">
        <v>168</v>
      </c>
      <c r="E204" s="202" t="s">
        <v>731</v>
      </c>
      <c r="F204" s="202" t="s">
        <v>159</v>
      </c>
      <c r="G204" s="202"/>
      <c r="H204" s="202" t="s">
        <v>174</v>
      </c>
      <c r="I204" s="202" t="s">
        <v>175</v>
      </c>
      <c r="J204" s="223" t="str">
        <f t="shared" si="10"/>
        <v>GoldPease &amp; Curren</v>
      </c>
      <c r="K204" s="223" t="str">
        <f t="shared" si="11"/>
        <v>GoldPease &amp; Curren</v>
      </c>
    </row>
    <row r="205" spans="1:11">
      <c r="A205" s="202" t="s">
        <v>134</v>
      </c>
      <c r="B205" s="202" t="s">
        <v>732</v>
      </c>
      <c r="C205" s="202" t="s">
        <v>732</v>
      </c>
      <c r="D205" s="202" t="s">
        <v>237</v>
      </c>
      <c r="E205" s="202" t="s">
        <v>733</v>
      </c>
      <c r="F205" s="202" t="s">
        <v>159</v>
      </c>
      <c r="G205" s="202"/>
      <c r="H205" s="202" t="s">
        <v>734</v>
      </c>
      <c r="I205" s="202" t="s">
        <v>343</v>
      </c>
      <c r="J205" s="223" t="str">
        <f t="shared" si="10"/>
        <v>GoldPenglai Penggang Gold Industry Co., Ltd.</v>
      </c>
      <c r="K205" s="223" t="str">
        <f t="shared" si="11"/>
        <v>GoldPenglai Penggang Gold Industry Co., Ltd.</v>
      </c>
    </row>
    <row r="206" spans="1:11">
      <c r="A206" s="202" t="s">
        <v>134</v>
      </c>
      <c r="B206" s="202" t="s">
        <v>735</v>
      </c>
      <c r="C206" s="202" t="s">
        <v>187</v>
      </c>
      <c r="D206" s="202" t="s">
        <v>163</v>
      </c>
      <c r="E206" s="202" t="s">
        <v>188</v>
      </c>
      <c r="F206" s="202" t="s">
        <v>159</v>
      </c>
      <c r="G206" s="202"/>
      <c r="H206" s="202" t="s">
        <v>189</v>
      </c>
      <c r="I206" s="202" t="s">
        <v>190</v>
      </c>
      <c r="J206" s="223" t="str">
        <f t="shared" si="10"/>
        <v>GoldPerth Mint</v>
      </c>
      <c r="K206" s="223" t="str">
        <f t="shared" si="11"/>
        <v>GoldPerth Mint</v>
      </c>
    </row>
    <row r="207" spans="1:11">
      <c r="A207" s="202" t="s">
        <v>134</v>
      </c>
      <c r="B207" s="202" t="s">
        <v>736</v>
      </c>
      <c r="C207" s="202" t="s">
        <v>187</v>
      </c>
      <c r="D207" s="202" t="s">
        <v>163</v>
      </c>
      <c r="E207" s="202" t="s">
        <v>188</v>
      </c>
      <c r="F207" s="202" t="s">
        <v>159</v>
      </c>
      <c r="G207" s="202"/>
      <c r="H207" s="202" t="s">
        <v>189</v>
      </c>
      <c r="I207" s="202" t="s">
        <v>190</v>
      </c>
      <c r="J207" s="223" t="str">
        <f t="shared" si="10"/>
        <v>GoldPerth Mint (ANZ)</v>
      </c>
      <c r="K207" s="223" t="str">
        <f t="shared" si="11"/>
        <v>GoldPerth Mint (ANZ)</v>
      </c>
    </row>
    <row r="208" spans="1:11">
      <c r="A208" s="202" t="s">
        <v>134</v>
      </c>
      <c r="B208" s="202" t="s">
        <v>737</v>
      </c>
      <c r="C208" s="202" t="s">
        <v>737</v>
      </c>
      <c r="D208" s="202" t="s">
        <v>738</v>
      </c>
      <c r="E208" s="202" t="s">
        <v>739</v>
      </c>
      <c r="F208" s="202" t="s">
        <v>159</v>
      </c>
      <c r="G208" s="202"/>
      <c r="H208" s="202" t="s">
        <v>740</v>
      </c>
      <c r="I208" s="202" t="s">
        <v>741</v>
      </c>
      <c r="J208" s="223" t="str">
        <f t="shared" si="10"/>
        <v>GoldPlanta Recuperadora de Metales SpA</v>
      </c>
      <c r="K208" s="223" t="str">
        <f t="shared" si="11"/>
        <v>GoldPlanta Recuperadora de Metales SpA</v>
      </c>
    </row>
    <row r="209" spans="1:11">
      <c r="A209" s="202" t="s">
        <v>134</v>
      </c>
      <c r="B209" s="202" t="s">
        <v>742</v>
      </c>
      <c r="C209" s="202" t="s">
        <v>742</v>
      </c>
      <c r="D209" s="202" t="s">
        <v>388</v>
      </c>
      <c r="E209" s="202" t="s">
        <v>743</v>
      </c>
      <c r="F209" s="202" t="s">
        <v>159</v>
      </c>
      <c r="G209" s="202"/>
      <c r="H209" s="202" t="s">
        <v>744</v>
      </c>
      <c r="I209" s="202" t="s">
        <v>745</v>
      </c>
      <c r="J209" s="223" t="str">
        <f t="shared" si="10"/>
        <v>GoldPrioksky Plant of Non-Ferrous Metals</v>
      </c>
      <c r="K209" s="223" t="str">
        <f t="shared" si="11"/>
        <v>GoldPrioksky Plant of Non-Ferrous Metals</v>
      </c>
    </row>
    <row r="210" spans="1:11">
      <c r="A210" s="202" t="s">
        <v>134</v>
      </c>
      <c r="B210" s="202" t="s">
        <v>746</v>
      </c>
      <c r="C210" s="202" t="s">
        <v>677</v>
      </c>
      <c r="D210" s="202" t="s">
        <v>244</v>
      </c>
      <c r="E210" s="202" t="s">
        <v>678</v>
      </c>
      <c r="F210" s="202" t="s">
        <v>159</v>
      </c>
      <c r="G210" s="202"/>
      <c r="H210" s="202" t="s">
        <v>679</v>
      </c>
      <c r="I210" s="202" t="s">
        <v>680</v>
      </c>
      <c r="J210" s="223" t="str">
        <f t="shared" si="10"/>
        <v>GoldProduits Artistiques de Métaux</v>
      </c>
      <c r="K210" s="223" t="str">
        <f t="shared" si="11"/>
        <v>GoldProduits Artistiques de Métaux</v>
      </c>
    </row>
    <row r="211" spans="1:11">
      <c r="A211" s="202" t="s">
        <v>134</v>
      </c>
      <c r="B211" s="202" t="s">
        <v>747</v>
      </c>
      <c r="C211" s="202" t="s">
        <v>747</v>
      </c>
      <c r="D211" s="202" t="s">
        <v>748</v>
      </c>
      <c r="E211" s="202" t="s">
        <v>749</v>
      </c>
      <c r="F211" s="202" t="s">
        <v>159</v>
      </c>
      <c r="G211" s="202"/>
      <c r="H211" s="202" t="s">
        <v>750</v>
      </c>
      <c r="I211" s="202" t="s">
        <v>751</v>
      </c>
      <c r="J211" s="223" t="str">
        <f t="shared" si="10"/>
        <v>GoldPT Aneka Tambang (Persero) Tbk</v>
      </c>
      <c r="K211" s="223" t="str">
        <f t="shared" si="11"/>
        <v>GoldPT Aneka Tambang (Persero) Tbk</v>
      </c>
    </row>
    <row r="212" spans="1:11">
      <c r="A212" s="202" t="s">
        <v>134</v>
      </c>
      <c r="B212" s="202" t="s">
        <v>752</v>
      </c>
      <c r="C212" s="202" t="s">
        <v>752</v>
      </c>
      <c r="D212" s="202" t="s">
        <v>244</v>
      </c>
      <c r="E212" s="202" t="s">
        <v>753</v>
      </c>
      <c r="F212" s="202" t="s">
        <v>159</v>
      </c>
      <c r="G212" s="202"/>
      <c r="H212" s="202" t="s">
        <v>754</v>
      </c>
      <c r="I212" s="202" t="s">
        <v>651</v>
      </c>
      <c r="J212" s="223" t="str">
        <f t="shared" si="10"/>
        <v>GoldPX Precinox S.A.</v>
      </c>
      <c r="K212" s="223" t="str">
        <f t="shared" si="11"/>
        <v>GoldPX Precinox S.A.</v>
      </c>
    </row>
    <row r="213" spans="1:11">
      <c r="A213" s="202" t="s">
        <v>134</v>
      </c>
      <c r="B213" s="202" t="s">
        <v>755</v>
      </c>
      <c r="C213" s="202" t="s">
        <v>752</v>
      </c>
      <c r="D213" s="202" t="s">
        <v>244</v>
      </c>
      <c r="E213" s="202" t="s">
        <v>753</v>
      </c>
      <c r="F213" s="202" t="s">
        <v>159</v>
      </c>
      <c r="G213" s="202"/>
      <c r="H213" s="202" t="s">
        <v>754</v>
      </c>
      <c r="I213" s="202" t="s">
        <v>651</v>
      </c>
      <c r="J213" s="223" t="str">
        <f t="shared" si="10"/>
        <v>GoldPX Précinox S.A.</v>
      </c>
      <c r="K213" s="223" t="str">
        <f t="shared" si="11"/>
        <v>GoldPX Précinox S.A.</v>
      </c>
    </row>
    <row r="214" spans="1:11">
      <c r="A214" s="202" t="s">
        <v>134</v>
      </c>
      <c r="B214" s="202" t="s">
        <v>756</v>
      </c>
      <c r="C214" s="202" t="s">
        <v>756</v>
      </c>
      <c r="D214" s="202" t="s">
        <v>168</v>
      </c>
      <c r="E214" s="202" t="s">
        <v>757</v>
      </c>
      <c r="F214" s="202" t="s">
        <v>159</v>
      </c>
      <c r="G214" s="202"/>
      <c r="H214" s="202" t="s">
        <v>758</v>
      </c>
      <c r="I214" s="202" t="s">
        <v>216</v>
      </c>
      <c r="J214" s="223" t="str">
        <f t="shared" si="10"/>
        <v>GoldQG Refining, LLC</v>
      </c>
      <c r="K214" s="223" t="str">
        <f t="shared" si="11"/>
        <v>GoldQG Refining, LLC</v>
      </c>
    </row>
    <row r="215" spans="1:11">
      <c r="A215" s="202" t="s">
        <v>134</v>
      </c>
      <c r="B215" s="202" t="s">
        <v>759</v>
      </c>
      <c r="C215" s="202" t="s">
        <v>759</v>
      </c>
      <c r="D215" s="202" t="s">
        <v>268</v>
      </c>
      <c r="E215" s="202" t="s">
        <v>760</v>
      </c>
      <c r="F215" s="202" t="s">
        <v>159</v>
      </c>
      <c r="G215" s="202"/>
      <c r="H215" s="202" t="s">
        <v>761</v>
      </c>
      <c r="I215" s="202" t="s">
        <v>271</v>
      </c>
      <c r="J215" s="223" t="str">
        <f t="shared" si="10"/>
        <v>GoldRand Refinery (Pty) Ltd.</v>
      </c>
      <c r="K215" s="223" t="str">
        <f t="shared" si="11"/>
        <v>GoldRand Refinery (Pty) Ltd.</v>
      </c>
    </row>
    <row r="216" spans="1:11">
      <c r="A216" s="202" t="s">
        <v>134</v>
      </c>
      <c r="B216" s="202" t="s">
        <v>762</v>
      </c>
      <c r="C216" s="202" t="s">
        <v>603</v>
      </c>
      <c r="D216" s="202" t="s">
        <v>364</v>
      </c>
      <c r="E216" s="202" t="s">
        <v>604</v>
      </c>
      <c r="F216" s="202" t="s">
        <v>159</v>
      </c>
      <c r="G216" s="202"/>
      <c r="H216" s="202" t="s">
        <v>605</v>
      </c>
      <c r="I216" s="202" t="s">
        <v>606</v>
      </c>
      <c r="J216" s="223" t="str">
        <f t="shared" si="10"/>
        <v>GoldRefinery LS-Nikko Copper Inc.</v>
      </c>
      <c r="K216" s="223" t="str">
        <f t="shared" si="11"/>
        <v>GoldRefinery LS-Nikko Copper Inc.</v>
      </c>
    </row>
    <row r="217" spans="1:11">
      <c r="A217" s="202" t="s">
        <v>134</v>
      </c>
      <c r="B217" s="202" t="s">
        <v>763</v>
      </c>
      <c r="C217" s="202" t="s">
        <v>763</v>
      </c>
      <c r="D217" s="202" t="s">
        <v>237</v>
      </c>
      <c r="E217" s="202" t="s">
        <v>764</v>
      </c>
      <c r="F217" s="202" t="s">
        <v>159</v>
      </c>
      <c r="G217" s="202"/>
      <c r="H217" s="202" t="s">
        <v>765</v>
      </c>
      <c r="I217" s="202" t="s">
        <v>766</v>
      </c>
      <c r="J217" s="223" t="str">
        <f t="shared" si="10"/>
        <v>GoldRefinery of Seemine Gold Co., Ltd.</v>
      </c>
      <c r="K217" s="223" t="str">
        <f t="shared" si="11"/>
        <v>GoldRefinery of Seemine Gold Co., Ltd.</v>
      </c>
    </row>
    <row r="218" spans="1:11">
      <c r="A218" s="202" t="s">
        <v>134</v>
      </c>
      <c r="B218" s="202" t="s">
        <v>767</v>
      </c>
      <c r="C218" s="202" t="s">
        <v>768</v>
      </c>
      <c r="D218" s="202" t="s">
        <v>769</v>
      </c>
      <c r="E218" s="202" t="s">
        <v>770</v>
      </c>
      <c r="F218" s="202" t="s">
        <v>159</v>
      </c>
      <c r="G218" s="202"/>
      <c r="H218" s="202" t="s">
        <v>771</v>
      </c>
      <c r="I218" s="202" t="s">
        <v>772</v>
      </c>
      <c r="J218" s="223" t="str">
        <f t="shared" si="10"/>
        <v>GoldRemondis Argentia B.V.</v>
      </c>
      <c r="K218" s="223" t="str">
        <f t="shared" si="11"/>
        <v>GoldRemondis Argentia B.V.</v>
      </c>
    </row>
    <row r="219" spans="1:11">
      <c r="A219" s="202" t="s">
        <v>134</v>
      </c>
      <c r="B219" s="202" t="s">
        <v>768</v>
      </c>
      <c r="C219" s="202" t="s">
        <v>768</v>
      </c>
      <c r="D219" s="202" t="s">
        <v>769</v>
      </c>
      <c r="E219" s="202" t="s">
        <v>770</v>
      </c>
      <c r="F219" s="202" t="s">
        <v>159</v>
      </c>
      <c r="G219" s="202"/>
      <c r="H219" s="202" t="s">
        <v>771</v>
      </c>
      <c r="I219" s="202" t="s">
        <v>772</v>
      </c>
      <c r="J219" s="223" t="str">
        <f t="shared" si="10"/>
        <v>GoldREMONDIS PMR B.V.</v>
      </c>
      <c r="K219" s="223" t="str">
        <f t="shared" si="11"/>
        <v>GoldREMONDIS PMR B.V.</v>
      </c>
    </row>
    <row r="220" spans="1:11">
      <c r="A220" s="202" t="s">
        <v>134</v>
      </c>
      <c r="B220" s="202" t="s">
        <v>773</v>
      </c>
      <c r="C220" s="202" t="s">
        <v>773</v>
      </c>
      <c r="D220" s="202" t="s">
        <v>249</v>
      </c>
      <c r="E220" s="202" t="s">
        <v>774</v>
      </c>
      <c r="F220" s="202" t="s">
        <v>159</v>
      </c>
      <c r="G220" s="202"/>
      <c r="H220" s="202" t="s">
        <v>775</v>
      </c>
      <c r="I220" s="202" t="s">
        <v>252</v>
      </c>
      <c r="J220" s="223" t="str">
        <f t="shared" si="10"/>
        <v>GoldRoyal Canadian Mint</v>
      </c>
      <c r="K220" s="223" t="str">
        <f t="shared" si="11"/>
        <v>GoldRoyal Canadian Mint</v>
      </c>
    </row>
    <row r="221" spans="1:11">
      <c r="A221" s="202" t="s">
        <v>134</v>
      </c>
      <c r="B221" s="202" t="s">
        <v>776</v>
      </c>
      <c r="C221" s="202" t="s">
        <v>776</v>
      </c>
      <c r="D221" s="202" t="s">
        <v>777</v>
      </c>
      <c r="E221" s="202" t="s">
        <v>778</v>
      </c>
      <c r="F221" s="202" t="s">
        <v>159</v>
      </c>
      <c r="G221" s="202"/>
      <c r="H221" s="202" t="s">
        <v>779</v>
      </c>
      <c r="I221" s="202" t="s">
        <v>780</v>
      </c>
      <c r="J221" s="223" t="str">
        <f t="shared" si="10"/>
        <v>GoldSAAMP</v>
      </c>
      <c r="K221" s="223" t="str">
        <f t="shared" si="11"/>
        <v>GoldSAAMP</v>
      </c>
    </row>
    <row r="222" spans="1:11">
      <c r="A222" s="202" t="s">
        <v>134</v>
      </c>
      <c r="B222" s="202" t="s">
        <v>781</v>
      </c>
      <c r="C222" s="202" t="s">
        <v>781</v>
      </c>
      <c r="D222" s="202" t="s">
        <v>168</v>
      </c>
      <c r="E222" s="202" t="s">
        <v>782</v>
      </c>
      <c r="F222" s="202" t="s">
        <v>159</v>
      </c>
      <c r="G222" s="202"/>
      <c r="H222" s="202" t="s">
        <v>783</v>
      </c>
      <c r="I222" s="202" t="s">
        <v>784</v>
      </c>
      <c r="J222" s="223" t="str">
        <f t="shared" si="10"/>
        <v>GoldSabin Metal Corp.</v>
      </c>
      <c r="K222" s="223" t="str">
        <f t="shared" si="11"/>
        <v>GoldSabin Metal Corp.</v>
      </c>
    </row>
    <row r="223" spans="1:11">
      <c r="A223" s="202" t="s">
        <v>134</v>
      </c>
      <c r="B223" s="202" t="s">
        <v>785</v>
      </c>
      <c r="C223" s="202" t="s">
        <v>785</v>
      </c>
      <c r="D223" s="202" t="s">
        <v>157</v>
      </c>
      <c r="E223" s="202" t="s">
        <v>786</v>
      </c>
      <c r="F223" s="202" t="s">
        <v>159</v>
      </c>
      <c r="G223" s="202"/>
      <c r="H223" s="202" t="s">
        <v>332</v>
      </c>
      <c r="I223" s="202" t="s">
        <v>333</v>
      </c>
      <c r="J223" s="223" t="str">
        <f t="shared" si="10"/>
        <v>GoldSafimet S.p.A</v>
      </c>
      <c r="K223" s="223" t="str">
        <f t="shared" si="11"/>
        <v>GoldSafimet S.p.A</v>
      </c>
    </row>
    <row r="224" spans="1:11">
      <c r="A224" s="202" t="s">
        <v>134</v>
      </c>
      <c r="B224" s="202" t="s">
        <v>787</v>
      </c>
      <c r="C224" s="202" t="s">
        <v>787</v>
      </c>
      <c r="D224" s="202" t="s">
        <v>788</v>
      </c>
      <c r="E224" s="202" t="s">
        <v>789</v>
      </c>
      <c r="F224" s="202" t="s">
        <v>159</v>
      </c>
      <c r="G224" s="202"/>
      <c r="H224" s="202" t="s">
        <v>790</v>
      </c>
      <c r="I224" s="202" t="s">
        <v>791</v>
      </c>
      <c r="J224" s="223" t="str">
        <f t="shared" si="10"/>
        <v>GoldSAFINA A.S.</v>
      </c>
      <c r="K224" s="223" t="str">
        <f t="shared" si="11"/>
        <v>GoldSAFINA A.S.</v>
      </c>
    </row>
    <row r="225" spans="1:11">
      <c r="A225" s="202" t="s">
        <v>134</v>
      </c>
      <c r="B225" s="202" t="s">
        <v>792</v>
      </c>
      <c r="C225" s="202" t="s">
        <v>533</v>
      </c>
      <c r="D225" s="202" t="s">
        <v>193</v>
      </c>
      <c r="E225" s="202" t="s">
        <v>534</v>
      </c>
      <c r="F225" s="202" t="s">
        <v>159</v>
      </c>
      <c r="G225" s="202"/>
      <c r="H225" s="202" t="s">
        <v>535</v>
      </c>
      <c r="I225" s="202" t="s">
        <v>536</v>
      </c>
      <c r="J225" s="223" t="str">
        <f t="shared" si="10"/>
        <v>GoldSaganoseki Smelter &amp; Refinery</v>
      </c>
      <c r="K225" s="223" t="str">
        <f t="shared" si="11"/>
        <v>GoldSaganoseki Smelter &amp; Refinery</v>
      </c>
    </row>
    <row r="226" spans="1:11">
      <c r="A226" s="202" t="s">
        <v>134</v>
      </c>
      <c r="B226" s="202" t="s">
        <v>793</v>
      </c>
      <c r="C226" s="202" t="s">
        <v>793</v>
      </c>
      <c r="D226" s="202" t="s">
        <v>273</v>
      </c>
      <c r="E226" s="202" t="s">
        <v>794</v>
      </c>
      <c r="F226" s="202" t="s">
        <v>159</v>
      </c>
      <c r="G226" s="202"/>
      <c r="H226" s="202" t="s">
        <v>795</v>
      </c>
      <c r="I226" s="202" t="s">
        <v>796</v>
      </c>
      <c r="J226" s="223" t="str">
        <f t="shared" si="10"/>
        <v>GoldSai Refinery</v>
      </c>
      <c r="K226" s="223" t="str">
        <f t="shared" si="11"/>
        <v>GoldSai Refinery</v>
      </c>
    </row>
    <row r="227" spans="1:11">
      <c r="A227" s="202" t="s">
        <v>134</v>
      </c>
      <c r="B227" s="202" t="s">
        <v>797</v>
      </c>
      <c r="C227" s="202" t="s">
        <v>797</v>
      </c>
      <c r="D227" s="202" t="s">
        <v>204</v>
      </c>
      <c r="E227" s="202" t="s">
        <v>798</v>
      </c>
      <c r="F227" s="202" t="s">
        <v>159</v>
      </c>
      <c r="G227" s="202"/>
      <c r="H227" s="202" t="s">
        <v>206</v>
      </c>
      <c r="I227" s="202" t="s">
        <v>207</v>
      </c>
      <c r="J227" s="223" t="str">
        <f t="shared" si="10"/>
        <v>GoldSam Precious Metals</v>
      </c>
      <c r="K227" s="223" t="str">
        <f t="shared" si="11"/>
        <v>GoldSam Precious Metals</v>
      </c>
    </row>
    <row r="228" spans="1:11">
      <c r="A228" s="202" t="s">
        <v>134</v>
      </c>
      <c r="B228" s="202" t="s">
        <v>799</v>
      </c>
      <c r="C228" s="202" t="s">
        <v>800</v>
      </c>
      <c r="D228" s="202" t="s">
        <v>364</v>
      </c>
      <c r="E228" s="202" t="s">
        <v>801</v>
      </c>
      <c r="F228" s="202" t="s">
        <v>159</v>
      </c>
      <c r="G228" s="202"/>
      <c r="H228" s="202" t="s">
        <v>802</v>
      </c>
      <c r="I228" s="202" t="s">
        <v>467</v>
      </c>
      <c r="J228" s="223" t="str">
        <f t="shared" si="10"/>
        <v>GoldSamdok Metal</v>
      </c>
      <c r="K228" s="223" t="str">
        <f t="shared" si="11"/>
        <v>GoldSamdok Metal</v>
      </c>
    </row>
    <row r="229" spans="1:11">
      <c r="A229" s="202" t="s">
        <v>134</v>
      </c>
      <c r="B229" s="202" t="s">
        <v>800</v>
      </c>
      <c r="C229" s="202" t="s">
        <v>800</v>
      </c>
      <c r="D229" s="202" t="s">
        <v>364</v>
      </c>
      <c r="E229" s="202" t="s">
        <v>801</v>
      </c>
      <c r="F229" s="202" t="s">
        <v>159</v>
      </c>
      <c r="G229" s="202"/>
      <c r="H229" s="202" t="s">
        <v>802</v>
      </c>
      <c r="I229" s="202" t="s">
        <v>467</v>
      </c>
      <c r="J229" s="223" t="str">
        <f t="shared" si="10"/>
        <v>GoldSamduck Precious Metals</v>
      </c>
      <c r="K229" s="223" t="str">
        <f t="shared" si="11"/>
        <v>GoldSamduck Precious Metals</v>
      </c>
    </row>
    <row r="230" spans="1:11">
      <c r="A230" s="202" t="s">
        <v>134</v>
      </c>
      <c r="B230" s="202" t="s">
        <v>803</v>
      </c>
      <c r="C230" s="202" t="s">
        <v>803</v>
      </c>
      <c r="D230" s="202" t="s">
        <v>364</v>
      </c>
      <c r="E230" s="202" t="s">
        <v>804</v>
      </c>
      <c r="F230" s="202" t="s">
        <v>159</v>
      </c>
      <c r="G230" s="202"/>
      <c r="H230" s="202" t="s">
        <v>805</v>
      </c>
      <c r="I230" s="202" t="s">
        <v>806</v>
      </c>
      <c r="J230" s="223" t="str">
        <f t="shared" si="10"/>
        <v>GoldSamwon Metals Corp.</v>
      </c>
      <c r="K230" s="223" t="str">
        <f t="shared" si="11"/>
        <v>GoldSamwon Metals Corp.</v>
      </c>
    </row>
    <row r="231" spans="1:11">
      <c r="A231" s="202" t="s">
        <v>134</v>
      </c>
      <c r="B231" s="202" t="s">
        <v>807</v>
      </c>
      <c r="C231" s="202" t="s">
        <v>807</v>
      </c>
      <c r="D231" s="202" t="s">
        <v>299</v>
      </c>
      <c r="E231" s="202" t="s">
        <v>808</v>
      </c>
      <c r="F231" s="202" t="s">
        <v>159</v>
      </c>
      <c r="G231" s="202"/>
      <c r="H231" s="202" t="s">
        <v>809</v>
      </c>
      <c r="I231" s="202" t="s">
        <v>810</v>
      </c>
      <c r="J231" s="223" t="str">
        <f t="shared" si="10"/>
        <v>GoldSancus ZFS (L’Orfebre, SA)</v>
      </c>
      <c r="K231" s="223" t="str">
        <f t="shared" si="11"/>
        <v>GoldSancus ZFS (L’Orfebre, SA)</v>
      </c>
    </row>
    <row r="232" spans="1:11">
      <c r="A232" s="202" t="s">
        <v>134</v>
      </c>
      <c r="B232" s="202" t="s">
        <v>811</v>
      </c>
      <c r="C232" s="202" t="s">
        <v>800</v>
      </c>
      <c r="D232" s="202" t="s">
        <v>364</v>
      </c>
      <c r="E232" s="202" t="s">
        <v>801</v>
      </c>
      <c r="F232" s="202" t="s">
        <v>159</v>
      </c>
      <c r="G232" s="202"/>
      <c r="H232" s="202" t="s">
        <v>802</v>
      </c>
      <c r="I232" s="202" t="s">
        <v>467</v>
      </c>
      <c r="J232" s="223" t="str">
        <f t="shared" si="10"/>
        <v>GoldSD (Samdok) Metal</v>
      </c>
      <c r="K232" s="223" t="str">
        <f t="shared" si="11"/>
        <v>GoldSD (Samdok) Metal</v>
      </c>
    </row>
    <row r="233" spans="1:11">
      <c r="A233" s="202" t="s">
        <v>134</v>
      </c>
      <c r="B233" s="202" t="s">
        <v>812</v>
      </c>
      <c r="C233" s="202" t="s">
        <v>812</v>
      </c>
      <c r="D233" s="202" t="s">
        <v>813</v>
      </c>
      <c r="E233" s="202" t="s">
        <v>814</v>
      </c>
      <c r="F233" s="202" t="s">
        <v>159</v>
      </c>
      <c r="G233" s="202"/>
      <c r="H233" s="202" t="s">
        <v>815</v>
      </c>
      <c r="I233" s="202" t="s">
        <v>816</v>
      </c>
      <c r="J233" s="223" t="str">
        <f t="shared" si="10"/>
        <v>GoldSellem Industries Ltd.</v>
      </c>
      <c r="K233" s="223" t="str">
        <f t="shared" si="11"/>
        <v>GoldSellem Industries Ltd.</v>
      </c>
    </row>
    <row r="234" spans="1:11">
      <c r="A234" s="202" t="s">
        <v>134</v>
      </c>
      <c r="B234" s="202" t="s">
        <v>817</v>
      </c>
      <c r="C234" s="202" t="s">
        <v>817</v>
      </c>
      <c r="D234" s="202" t="s">
        <v>818</v>
      </c>
      <c r="E234" s="202" t="s">
        <v>819</v>
      </c>
      <c r="F234" s="202" t="s">
        <v>159</v>
      </c>
      <c r="G234" s="202"/>
      <c r="H234" s="202" t="s">
        <v>820</v>
      </c>
      <c r="I234" s="202" t="s">
        <v>821</v>
      </c>
      <c r="J234" s="223" t="str">
        <f t="shared" si="10"/>
        <v>GoldSEMPSA Joyeria Plateria S.A.</v>
      </c>
      <c r="K234" s="223" t="str">
        <f t="shared" si="11"/>
        <v>GoldSEMPSA Joyeria Plateria S.A.</v>
      </c>
    </row>
    <row r="235" spans="1:11">
      <c r="A235" s="202" t="s">
        <v>134</v>
      </c>
      <c r="B235" s="202" t="s">
        <v>822</v>
      </c>
      <c r="C235" s="202" t="s">
        <v>817</v>
      </c>
      <c r="D235" s="202" t="s">
        <v>818</v>
      </c>
      <c r="E235" s="202" t="s">
        <v>819</v>
      </c>
      <c r="F235" s="202" t="s">
        <v>159</v>
      </c>
      <c r="G235" s="202"/>
      <c r="H235" s="202" t="s">
        <v>820</v>
      </c>
      <c r="I235" s="202" t="s">
        <v>821</v>
      </c>
      <c r="J235" s="223" t="str">
        <f t="shared" si="10"/>
        <v>GoldSEMPSA Joyería Platería S.A.</v>
      </c>
      <c r="K235" s="223" t="str">
        <f t="shared" si="11"/>
        <v>GoldSEMPSA Joyería Platería S.A.</v>
      </c>
    </row>
    <row r="236" spans="1:11">
      <c r="A236" s="202" t="s">
        <v>134</v>
      </c>
      <c r="B236" s="202" t="s">
        <v>823</v>
      </c>
      <c r="C236" s="202" t="s">
        <v>817</v>
      </c>
      <c r="D236" s="202" t="s">
        <v>818</v>
      </c>
      <c r="E236" s="202" t="s">
        <v>819</v>
      </c>
      <c r="F236" s="202" t="s">
        <v>159</v>
      </c>
      <c r="G236" s="202"/>
      <c r="H236" s="202" t="s">
        <v>820</v>
      </c>
      <c r="I236" s="202" t="s">
        <v>821</v>
      </c>
      <c r="J236" s="223" t="str">
        <f t="shared" si="10"/>
        <v>GoldSempsa JP (Cookson Sempsa)</v>
      </c>
      <c r="K236" s="223" t="str">
        <f t="shared" si="11"/>
        <v>GoldSempsa JP (Cookson Sempsa)</v>
      </c>
    </row>
    <row r="237" spans="1:11">
      <c r="A237" s="202" t="s">
        <v>134</v>
      </c>
      <c r="B237" s="202" t="s">
        <v>824</v>
      </c>
      <c r="C237" s="202" t="s">
        <v>340</v>
      </c>
      <c r="D237" s="202" t="s">
        <v>237</v>
      </c>
      <c r="E237" s="202" t="s">
        <v>341</v>
      </c>
      <c r="F237" s="202" t="s">
        <v>159</v>
      </c>
      <c r="G237" s="202"/>
      <c r="H237" s="202" t="s">
        <v>342</v>
      </c>
      <c r="I237" s="202" t="s">
        <v>343</v>
      </c>
      <c r="J237" s="223" t="str">
        <f t="shared" si="10"/>
        <v>GoldShan Dong Huangjin</v>
      </c>
      <c r="K237" s="223" t="str">
        <f t="shared" si="11"/>
        <v>GoldShan Dong Huangjin</v>
      </c>
    </row>
    <row r="238" spans="1:11">
      <c r="A238" s="202" t="s">
        <v>134</v>
      </c>
      <c r="B238" s="202" t="s">
        <v>825</v>
      </c>
      <c r="C238" s="202" t="s">
        <v>340</v>
      </c>
      <c r="D238" s="202" t="s">
        <v>237</v>
      </c>
      <c r="E238" s="202" t="s">
        <v>341</v>
      </c>
      <c r="F238" s="202" t="s">
        <v>159</v>
      </c>
      <c r="G238" s="202"/>
      <c r="H238" s="202" t="s">
        <v>342</v>
      </c>
      <c r="I238" s="202" t="s">
        <v>343</v>
      </c>
      <c r="J238" s="223" t="str">
        <f t="shared" si="10"/>
        <v>GoldShandong Gold Mine(Laizhou) Smelter Co., Ltd.</v>
      </c>
      <c r="K238" s="223" t="str">
        <f t="shared" si="11"/>
        <v>GoldShandong Gold Mine(Laizhou) Smelter Co., Ltd.</v>
      </c>
    </row>
    <row r="239" spans="1:11">
      <c r="A239" s="202" t="s">
        <v>134</v>
      </c>
      <c r="B239" s="202" t="s">
        <v>340</v>
      </c>
      <c r="C239" s="202" t="s">
        <v>340</v>
      </c>
      <c r="D239" s="202" t="s">
        <v>237</v>
      </c>
      <c r="E239" s="202" t="s">
        <v>341</v>
      </c>
      <c r="F239" s="202" t="s">
        <v>159</v>
      </c>
      <c r="G239" s="202"/>
      <c r="H239" s="202" t="s">
        <v>342</v>
      </c>
      <c r="I239" s="202" t="s">
        <v>343</v>
      </c>
      <c r="J239" s="223" t="str">
        <f t="shared" si="10"/>
        <v>GoldShandong Gold Smelting Co., Ltd.</v>
      </c>
      <c r="K239" s="223" t="str">
        <f t="shared" si="11"/>
        <v>GoldShandong Gold Smelting Co., Ltd.</v>
      </c>
    </row>
    <row r="240" spans="1:11">
      <c r="A240" s="202" t="s">
        <v>134</v>
      </c>
      <c r="B240" s="202" t="s">
        <v>826</v>
      </c>
      <c r="C240" s="202" t="s">
        <v>456</v>
      </c>
      <c r="D240" s="202" t="s">
        <v>237</v>
      </c>
      <c r="E240" s="202" t="s">
        <v>457</v>
      </c>
      <c r="F240" s="202" t="s">
        <v>159</v>
      </c>
      <c r="G240" s="202"/>
      <c r="H240" s="202" t="s">
        <v>458</v>
      </c>
      <c r="I240" s="202" t="s">
        <v>343</v>
      </c>
      <c r="J240" s="223" t="str">
        <f t="shared" si="10"/>
        <v>GoldShandong Guoda Gold Co., Ltd.</v>
      </c>
      <c r="K240" s="223" t="str">
        <f t="shared" si="11"/>
        <v>GoldShandong Guoda Gold Co., Ltd.</v>
      </c>
    </row>
    <row r="241" spans="1:11">
      <c r="A241" s="202" t="s">
        <v>134</v>
      </c>
      <c r="B241" s="202" t="s">
        <v>827</v>
      </c>
      <c r="C241" s="202" t="s">
        <v>340</v>
      </c>
      <c r="D241" s="202" t="s">
        <v>237</v>
      </c>
      <c r="E241" s="202" t="s">
        <v>341</v>
      </c>
      <c r="F241" s="202" t="s">
        <v>159</v>
      </c>
      <c r="G241" s="202"/>
      <c r="H241" s="202" t="s">
        <v>342</v>
      </c>
      <c r="I241" s="202" t="s">
        <v>343</v>
      </c>
      <c r="J241" s="223" t="str">
        <f t="shared" si="10"/>
        <v>Goldshandong huangjin</v>
      </c>
      <c r="K241" s="223" t="str">
        <f t="shared" si="11"/>
        <v>Goldshandong huangjin</v>
      </c>
    </row>
    <row r="242" spans="1:11">
      <c r="A242" s="202" t="s">
        <v>134</v>
      </c>
      <c r="B242" s="202" t="s">
        <v>828</v>
      </c>
      <c r="C242" s="202" t="s">
        <v>828</v>
      </c>
      <c r="D242" s="202" t="s">
        <v>237</v>
      </c>
      <c r="E242" s="202" t="s">
        <v>829</v>
      </c>
      <c r="F242" s="202" t="s">
        <v>159</v>
      </c>
      <c r="G242" s="202"/>
      <c r="H242" s="202" t="s">
        <v>342</v>
      </c>
      <c r="I242" s="202" t="s">
        <v>343</v>
      </c>
      <c r="J242" s="223" t="str">
        <f t="shared" si="10"/>
        <v>GoldShandong Humon Smelting Co., Ltd.</v>
      </c>
      <c r="K242" s="223" t="str">
        <f t="shared" si="11"/>
        <v>GoldShandong Humon Smelting Co., Ltd.</v>
      </c>
    </row>
    <row r="243" spans="1:11">
      <c r="A243" s="202" t="s">
        <v>134</v>
      </c>
      <c r="B243" s="202" t="s">
        <v>830</v>
      </c>
      <c r="C243" s="202" t="s">
        <v>340</v>
      </c>
      <c r="D243" s="202" t="s">
        <v>237</v>
      </c>
      <c r="E243" s="202" t="s">
        <v>341</v>
      </c>
      <c r="F243" s="202" t="s">
        <v>159</v>
      </c>
      <c r="G243" s="202"/>
      <c r="H243" s="202" t="s">
        <v>342</v>
      </c>
      <c r="I243" s="202" t="s">
        <v>343</v>
      </c>
      <c r="J243" s="223" t="str">
        <f t="shared" si="10"/>
        <v>GoldShandong middlings JinYe group Co., LTD</v>
      </c>
      <c r="K243" s="223" t="str">
        <f t="shared" si="11"/>
        <v>GoldShandong middlings JinYe group Co., LTD</v>
      </c>
    </row>
    <row r="244" spans="1:11">
      <c r="A244" s="202" t="s">
        <v>134</v>
      </c>
      <c r="B244" s="202" t="s">
        <v>831</v>
      </c>
      <c r="C244" s="202" t="s">
        <v>832</v>
      </c>
      <c r="D244" s="202" t="s">
        <v>237</v>
      </c>
      <c r="E244" s="202" t="s">
        <v>833</v>
      </c>
      <c r="F244" s="202" t="s">
        <v>159</v>
      </c>
      <c r="G244" s="202"/>
      <c r="H244" s="202" t="s">
        <v>342</v>
      </c>
      <c r="I244" s="202" t="s">
        <v>343</v>
      </c>
      <c r="J244" s="223" t="str">
        <f t="shared" si="10"/>
        <v>GoldShandong Tarzan Bio-Gold Industry Co., Ltd.</v>
      </c>
      <c r="K244" s="223" t="str">
        <f t="shared" si="11"/>
        <v>GoldShandong Tarzan Bio-Gold Industry Co., Ltd.</v>
      </c>
    </row>
    <row r="245" spans="1:11">
      <c r="A245" s="202" t="s">
        <v>134</v>
      </c>
      <c r="B245" s="202" t="s">
        <v>832</v>
      </c>
      <c r="C245" s="202" t="s">
        <v>832</v>
      </c>
      <c r="D245" s="202" t="s">
        <v>237</v>
      </c>
      <c r="E245" s="202" t="s">
        <v>833</v>
      </c>
      <c r="F245" s="202" t="s">
        <v>159</v>
      </c>
      <c r="G245" s="202"/>
      <c r="H245" s="202" t="s">
        <v>342</v>
      </c>
      <c r="I245" s="202" t="s">
        <v>343</v>
      </c>
      <c r="J245" s="223" t="str">
        <f t="shared" si="10"/>
        <v>GoldShandong Tiancheng Biological Gold Industrial Co., Ltd.</v>
      </c>
      <c r="K245" s="223" t="str">
        <f t="shared" si="11"/>
        <v>GoldShandong Tiancheng Biological Gold Industrial Co., Ltd.</v>
      </c>
    </row>
    <row r="246" spans="1:11">
      <c r="A246" s="202" t="s">
        <v>134</v>
      </c>
      <c r="B246" s="202" t="s">
        <v>834</v>
      </c>
      <c r="C246" s="202" t="s">
        <v>834</v>
      </c>
      <c r="D246" s="202" t="s">
        <v>237</v>
      </c>
      <c r="E246" s="202" t="s">
        <v>835</v>
      </c>
      <c r="F246" s="202" t="s">
        <v>159</v>
      </c>
      <c r="G246" s="202"/>
      <c r="H246" s="202" t="s">
        <v>458</v>
      </c>
      <c r="I246" s="202" t="s">
        <v>343</v>
      </c>
      <c r="J246" s="223" t="str">
        <f t="shared" si="10"/>
        <v>GoldShandong Zhaojin Gold &amp; Silver Refinery Co., Ltd.</v>
      </c>
      <c r="K246" s="223" t="str">
        <f t="shared" si="11"/>
        <v>GoldShandong Zhaojin Gold &amp; Silver Refinery Co., Ltd.</v>
      </c>
    </row>
    <row r="247" spans="1:11">
      <c r="A247" s="202" t="s">
        <v>134</v>
      </c>
      <c r="B247" s="202" t="s">
        <v>836</v>
      </c>
      <c r="C247" s="202" t="s">
        <v>340</v>
      </c>
      <c r="D247" s="202" t="s">
        <v>237</v>
      </c>
      <c r="E247" s="202" t="s">
        <v>341</v>
      </c>
      <c r="F247" s="202" t="s">
        <v>159</v>
      </c>
      <c r="G247" s="202"/>
      <c r="H247" s="202" t="s">
        <v>342</v>
      </c>
      <c r="I247" s="202" t="s">
        <v>343</v>
      </c>
      <c r="J247" s="223" t="str">
        <f t="shared" si="10"/>
        <v>GoldShangdong Gold (Laizhou)</v>
      </c>
      <c r="K247" s="223" t="str">
        <f t="shared" si="11"/>
        <v>GoldShangdong Gold (Laizhou)</v>
      </c>
    </row>
    <row r="248" spans="1:11">
      <c r="A248" s="202" t="s">
        <v>134</v>
      </c>
      <c r="B248" s="202" t="s">
        <v>837</v>
      </c>
      <c r="C248" s="202" t="s">
        <v>837</v>
      </c>
      <c r="D248" s="202" t="s">
        <v>237</v>
      </c>
      <c r="E248" s="202" t="s">
        <v>838</v>
      </c>
      <c r="F248" s="202" t="s">
        <v>159</v>
      </c>
      <c r="G248" s="202"/>
      <c r="H248" s="202" t="s">
        <v>839</v>
      </c>
      <c r="I248" s="202" t="s">
        <v>454</v>
      </c>
      <c r="J248" s="223" t="str">
        <f t="shared" si="10"/>
        <v>GoldShenzhen CuiLu Gold Co., Ltd.</v>
      </c>
      <c r="K248" s="223" t="str">
        <f t="shared" si="11"/>
        <v>GoldShenzhen CuiLu Gold Co., Ltd.</v>
      </c>
    </row>
    <row r="249" spans="1:11">
      <c r="A249" s="202" t="s">
        <v>134</v>
      </c>
      <c r="B249" s="202" t="s">
        <v>840</v>
      </c>
      <c r="C249" s="202" t="s">
        <v>840</v>
      </c>
      <c r="D249" s="202" t="s">
        <v>237</v>
      </c>
      <c r="E249" s="202" t="s">
        <v>841</v>
      </c>
      <c r="F249" s="202" t="s">
        <v>159</v>
      </c>
      <c r="G249" s="202"/>
      <c r="H249" s="202" t="s">
        <v>839</v>
      </c>
      <c r="I249" s="202" t="s">
        <v>454</v>
      </c>
      <c r="J249" s="223" t="str">
        <f t="shared" si="10"/>
        <v>GoldShenzhen Zhonghenglong Real Industry Co., Ltd.</v>
      </c>
      <c r="K249" s="223" t="str">
        <f t="shared" si="11"/>
        <v>GoldShenzhen Zhonghenglong Real Industry Co., Ltd.</v>
      </c>
    </row>
    <row r="250" spans="1:11">
      <c r="A250" s="202" t="s">
        <v>134</v>
      </c>
      <c r="B250" s="202" t="s">
        <v>842</v>
      </c>
      <c r="C250" s="202" t="s">
        <v>842</v>
      </c>
      <c r="D250" s="202" t="s">
        <v>273</v>
      </c>
      <c r="E250" s="202" t="s">
        <v>843</v>
      </c>
      <c r="F250" s="202" t="s">
        <v>159</v>
      </c>
      <c r="G250" s="202"/>
      <c r="H250" s="202" t="s">
        <v>275</v>
      </c>
      <c r="I250" s="202" t="s">
        <v>276</v>
      </c>
      <c r="J250" s="223" t="str">
        <f t="shared" si="10"/>
        <v>GoldShirpur Gold Refinery Ltd.</v>
      </c>
      <c r="K250" s="223" t="str">
        <f t="shared" si="11"/>
        <v>GoldShirpur Gold Refinery Ltd.</v>
      </c>
    </row>
    <row r="251" spans="1:11">
      <c r="A251" s="202" t="s">
        <v>134</v>
      </c>
      <c r="B251" s="202" t="s">
        <v>844</v>
      </c>
      <c r="C251" s="202" t="s">
        <v>845</v>
      </c>
      <c r="D251" s="202" t="s">
        <v>193</v>
      </c>
      <c r="E251" s="202" t="s">
        <v>846</v>
      </c>
      <c r="F251" s="202" t="s">
        <v>159</v>
      </c>
      <c r="G251" s="202"/>
      <c r="H251" s="202" t="s">
        <v>847</v>
      </c>
      <c r="I251" s="202" t="s">
        <v>848</v>
      </c>
      <c r="J251" s="223" t="str">
        <f t="shared" si="10"/>
        <v>GoldShonan Plant Tanaka Kikinzoku</v>
      </c>
      <c r="K251" s="223" t="str">
        <f t="shared" si="11"/>
        <v>GoldShonan Plant Tanaka Kikinzoku</v>
      </c>
    </row>
    <row r="252" spans="1:11">
      <c r="A252" s="202" t="s">
        <v>134</v>
      </c>
      <c r="B252" s="202" t="s">
        <v>849</v>
      </c>
      <c r="C252" s="202" t="s">
        <v>850</v>
      </c>
      <c r="D252" s="202" t="s">
        <v>388</v>
      </c>
      <c r="E252" s="202" t="s">
        <v>851</v>
      </c>
      <c r="F252" s="202" t="s">
        <v>159</v>
      </c>
      <c r="G252" s="202"/>
      <c r="H252" s="202" t="s">
        <v>852</v>
      </c>
      <c r="I252" s="202" t="s">
        <v>853</v>
      </c>
      <c r="J252" s="223" t="str">
        <f t="shared" si="10"/>
        <v>GoldShyolkovsky</v>
      </c>
      <c r="K252" s="223" t="str">
        <f t="shared" si="11"/>
        <v>GoldShyolkovsky</v>
      </c>
    </row>
    <row r="253" spans="1:11">
      <c r="A253" s="202" t="s">
        <v>134</v>
      </c>
      <c r="B253" s="202" t="s">
        <v>854</v>
      </c>
      <c r="C253" s="202" t="s">
        <v>854</v>
      </c>
      <c r="D253" s="202" t="s">
        <v>237</v>
      </c>
      <c r="E253" s="202" t="s">
        <v>855</v>
      </c>
      <c r="F253" s="202" t="s">
        <v>159</v>
      </c>
      <c r="G253" s="202"/>
      <c r="H253" s="202" t="s">
        <v>448</v>
      </c>
      <c r="I253" s="202" t="s">
        <v>449</v>
      </c>
      <c r="J253" s="223" t="str">
        <f t="shared" si="10"/>
        <v>GoldSichuan Tianze Precious Metals Co., Ltd.</v>
      </c>
      <c r="K253" s="223" t="str">
        <f t="shared" si="11"/>
        <v>GoldSichuan Tianze Precious Metals Co., Ltd.</v>
      </c>
    </row>
    <row r="254" spans="1:11">
      <c r="A254" s="202" t="s">
        <v>134</v>
      </c>
      <c r="B254" s="202" t="s">
        <v>856</v>
      </c>
      <c r="C254" s="202" t="s">
        <v>845</v>
      </c>
      <c r="D254" s="202" t="s">
        <v>193</v>
      </c>
      <c r="E254" s="202" t="s">
        <v>846</v>
      </c>
      <c r="F254" s="202" t="s">
        <v>159</v>
      </c>
      <c r="G254" s="202"/>
      <c r="H254" s="202" t="s">
        <v>847</v>
      </c>
      <c r="I254" s="202" t="s">
        <v>848</v>
      </c>
      <c r="J254" s="223" t="str">
        <f t="shared" si="10"/>
        <v>GoldSingapore Tanaka</v>
      </c>
      <c r="K254" s="223" t="str">
        <f t="shared" si="11"/>
        <v>GoldSingapore Tanaka</v>
      </c>
    </row>
    <row r="255" spans="1:11">
      <c r="A255" s="202" t="s">
        <v>134</v>
      </c>
      <c r="B255" s="202" t="s">
        <v>857</v>
      </c>
      <c r="C255" s="202" t="s">
        <v>857</v>
      </c>
      <c r="D255" s="202" t="s">
        <v>858</v>
      </c>
      <c r="E255" s="202" t="s">
        <v>859</v>
      </c>
      <c r="F255" s="202" t="s">
        <v>159</v>
      </c>
      <c r="G255" s="202"/>
      <c r="H255" s="202" t="s">
        <v>860</v>
      </c>
      <c r="I255" s="202" t="s">
        <v>861</v>
      </c>
      <c r="J255" s="223" t="str">
        <f t="shared" si="10"/>
        <v>GoldSingway Technology Co., Ltd.</v>
      </c>
      <c r="K255" s="223" t="str">
        <f t="shared" si="11"/>
        <v>GoldSingway Technology Co., Ltd.</v>
      </c>
    </row>
    <row r="256" spans="1:11">
      <c r="A256" s="202" t="s">
        <v>134</v>
      </c>
      <c r="B256" s="202" t="s">
        <v>862</v>
      </c>
      <c r="C256" s="202" t="s">
        <v>627</v>
      </c>
      <c r="D256" s="202" t="s">
        <v>193</v>
      </c>
      <c r="E256" s="202" t="s">
        <v>628</v>
      </c>
      <c r="F256" s="202" t="s">
        <v>159</v>
      </c>
      <c r="G256" s="202"/>
      <c r="H256" s="202" t="s">
        <v>629</v>
      </c>
      <c r="I256" s="202" t="s">
        <v>630</v>
      </c>
      <c r="J256" s="223" t="str">
        <f t="shared" si="10"/>
        <v>GoldSMM</v>
      </c>
      <c r="K256" s="223" t="str">
        <f t="shared" si="11"/>
        <v>GoldSMM</v>
      </c>
    </row>
    <row r="257" spans="1:11">
      <c r="A257" s="202" t="s">
        <v>134</v>
      </c>
      <c r="B257" s="202" t="s">
        <v>850</v>
      </c>
      <c r="C257" s="202" t="s">
        <v>850</v>
      </c>
      <c r="D257" s="202" t="s">
        <v>388</v>
      </c>
      <c r="E257" s="202" t="s">
        <v>851</v>
      </c>
      <c r="F257" s="202" t="s">
        <v>159</v>
      </c>
      <c r="G257" s="202"/>
      <c r="H257" s="202" t="s">
        <v>852</v>
      </c>
      <c r="I257" s="202" t="s">
        <v>853</v>
      </c>
      <c r="J257" s="223" t="str">
        <f t="shared" si="10"/>
        <v>GoldSOE Shyolkovsky Factory of Secondary Precious Metals</v>
      </c>
      <c r="K257" s="223" t="str">
        <f t="shared" si="11"/>
        <v>GoldSOE Shyolkovsky Factory of Secondary Precious Metals</v>
      </c>
    </row>
    <row r="258" spans="1:11">
      <c r="A258" s="202" t="s">
        <v>134</v>
      </c>
      <c r="B258" s="202" t="s">
        <v>863</v>
      </c>
      <c r="C258" s="202" t="s">
        <v>863</v>
      </c>
      <c r="D258" s="202" t="s">
        <v>858</v>
      </c>
      <c r="E258" s="202" t="s">
        <v>864</v>
      </c>
      <c r="F258" s="202" t="s">
        <v>159</v>
      </c>
      <c r="G258" s="202"/>
      <c r="H258" s="202" t="s">
        <v>865</v>
      </c>
      <c r="I258" s="202" t="s">
        <v>866</v>
      </c>
      <c r="J258" s="223" t="str">
        <f t="shared" si="10"/>
        <v>GoldSolar Applied Materials Technology Corp.</v>
      </c>
      <c r="K258" s="223" t="str">
        <f t="shared" si="11"/>
        <v>GoldSolar Applied Materials Technology Corp.</v>
      </c>
    </row>
    <row r="259" spans="1:11">
      <c r="A259" s="202" t="s">
        <v>134</v>
      </c>
      <c r="B259" s="202" t="s">
        <v>867</v>
      </c>
      <c r="C259" s="202" t="s">
        <v>863</v>
      </c>
      <c r="D259" s="202" t="s">
        <v>858</v>
      </c>
      <c r="E259" s="202" t="s">
        <v>864</v>
      </c>
      <c r="F259" s="202" t="s">
        <v>159</v>
      </c>
      <c r="G259" s="202"/>
      <c r="H259" s="202" t="s">
        <v>865</v>
      </c>
      <c r="I259" s="202" t="s">
        <v>866</v>
      </c>
      <c r="J259" s="223" t="str">
        <f t="shared" si="10"/>
        <v>GoldSOLAR CHEMICALAPPLIED MATERIALS TECHNOLOGY (KUN SHAN)</v>
      </c>
      <c r="K259" s="223" t="str">
        <f t="shared" si="11"/>
        <v>GoldSOLAR CHEMICALAPPLIED MATERIALS TECHNOLOGY (KUN SHAN)</v>
      </c>
    </row>
    <row r="260" spans="1:11">
      <c r="A260" s="202" t="s">
        <v>134</v>
      </c>
      <c r="B260" s="202" t="s">
        <v>868</v>
      </c>
      <c r="C260" s="202" t="s">
        <v>863</v>
      </c>
      <c r="D260" s="202" t="s">
        <v>858</v>
      </c>
      <c r="E260" s="202" t="s">
        <v>864</v>
      </c>
      <c r="F260" s="202" t="s">
        <v>159</v>
      </c>
      <c r="G260" s="202"/>
      <c r="H260" s="202" t="s">
        <v>865</v>
      </c>
      <c r="I260" s="202" t="s">
        <v>866</v>
      </c>
      <c r="J260" s="223" t="str">
        <f t="shared" si="10"/>
        <v>GoldSolartech</v>
      </c>
      <c r="K260" s="223" t="str">
        <f t="shared" si="11"/>
        <v>GoldSolartech</v>
      </c>
    </row>
    <row r="261" spans="1:11">
      <c r="A261" s="202" t="s">
        <v>134</v>
      </c>
      <c r="B261" s="202" t="s">
        <v>869</v>
      </c>
      <c r="C261" s="202" t="s">
        <v>869</v>
      </c>
      <c r="D261" s="202" t="s">
        <v>273</v>
      </c>
      <c r="E261" s="202" t="s">
        <v>870</v>
      </c>
      <c r="F261" s="202" t="s">
        <v>159</v>
      </c>
      <c r="G261" s="202"/>
      <c r="H261" s="202" t="s">
        <v>871</v>
      </c>
      <c r="I261" s="202" t="s">
        <v>434</v>
      </c>
      <c r="J261" s="223" t="str">
        <f t="shared" si="10"/>
        <v>GoldSovereign Metals</v>
      </c>
      <c r="K261" s="223" t="str">
        <f t="shared" si="11"/>
        <v>GoldSovereign Metals</v>
      </c>
    </row>
    <row r="262" spans="1:11">
      <c r="A262" s="202" t="s">
        <v>134</v>
      </c>
      <c r="B262" s="202" t="s">
        <v>872</v>
      </c>
      <c r="C262" s="202" t="s">
        <v>872</v>
      </c>
      <c r="D262" s="202" t="s">
        <v>873</v>
      </c>
      <c r="E262" s="202" t="s">
        <v>874</v>
      </c>
      <c r="F262" s="202" t="s">
        <v>159</v>
      </c>
      <c r="G262" s="202"/>
      <c r="H262" s="202" t="s">
        <v>875</v>
      </c>
      <c r="I262" s="202" t="s">
        <v>875</v>
      </c>
      <c r="J262" s="223" t="str">
        <f t="shared" si="10"/>
        <v>GoldState Research Institute Center for Physical Sciences and Technology</v>
      </c>
      <c r="K262" s="223" t="str">
        <f t="shared" si="11"/>
        <v>GoldState Research Institute Center for Physical Sciences and Technology</v>
      </c>
    </row>
    <row r="263" spans="1:11">
      <c r="A263" s="202" t="s">
        <v>134</v>
      </c>
      <c r="B263" s="202" t="s">
        <v>876</v>
      </c>
      <c r="C263" s="202" t="s">
        <v>876</v>
      </c>
      <c r="D263" s="202" t="s">
        <v>877</v>
      </c>
      <c r="E263" s="202" t="s">
        <v>878</v>
      </c>
      <c r="F263" s="202" t="s">
        <v>159</v>
      </c>
      <c r="G263" s="202"/>
      <c r="H263" s="202" t="s">
        <v>879</v>
      </c>
      <c r="I263" s="202" t="s">
        <v>879</v>
      </c>
      <c r="J263" s="223" t="str">
        <f t="shared" ref="J263:J325" si="12">A263&amp;B263</f>
        <v>GoldSudan Gold Refinery</v>
      </c>
      <c r="K263" s="223" t="str">
        <f t="shared" ref="K263:K325" si="13">A263&amp;B263</f>
        <v>GoldSudan Gold Refinery</v>
      </c>
    </row>
    <row r="264" spans="1:11">
      <c r="A264" s="202" t="s">
        <v>134</v>
      </c>
      <c r="B264" s="202" t="s">
        <v>880</v>
      </c>
      <c r="C264" s="202" t="s">
        <v>627</v>
      </c>
      <c r="D264" s="202" t="s">
        <v>193</v>
      </c>
      <c r="E264" s="202" t="s">
        <v>628</v>
      </c>
      <c r="F264" s="202" t="s">
        <v>159</v>
      </c>
      <c r="G264" s="202"/>
      <c r="H264" s="202" t="s">
        <v>629</v>
      </c>
      <c r="I264" s="202" t="s">
        <v>630</v>
      </c>
      <c r="J264" s="223" t="str">
        <f t="shared" si="12"/>
        <v>GoldSumitomo Kinzoku Kozan K.K.</v>
      </c>
      <c r="K264" s="223" t="str">
        <f t="shared" si="13"/>
        <v>GoldSumitomo Kinzoku Kozan K.K.</v>
      </c>
    </row>
    <row r="265" spans="1:11">
      <c r="A265" s="202" t="s">
        <v>134</v>
      </c>
      <c r="B265" s="202" t="s">
        <v>627</v>
      </c>
      <c r="C265" s="202" t="s">
        <v>627</v>
      </c>
      <c r="D265" s="202" t="s">
        <v>193</v>
      </c>
      <c r="E265" s="202" t="s">
        <v>628</v>
      </c>
      <c r="F265" s="202" t="s">
        <v>159</v>
      </c>
      <c r="G265" s="202"/>
      <c r="H265" s="202" t="s">
        <v>629</v>
      </c>
      <c r="I265" s="202" t="s">
        <v>630</v>
      </c>
      <c r="J265" s="223" t="str">
        <f t="shared" si="12"/>
        <v>GoldSumitomo Metal Mining Co., Ltd.</v>
      </c>
      <c r="K265" s="223" t="str">
        <f t="shared" si="13"/>
        <v>GoldSumitomo Metal Mining Co., Ltd.</v>
      </c>
    </row>
    <row r="266" spans="1:11">
      <c r="A266" s="202" t="s">
        <v>134</v>
      </c>
      <c r="B266" s="202" t="s">
        <v>881</v>
      </c>
      <c r="C266" s="202" t="s">
        <v>881</v>
      </c>
      <c r="D266" s="202" t="s">
        <v>364</v>
      </c>
      <c r="E266" s="202" t="s">
        <v>882</v>
      </c>
      <c r="F266" s="202" t="s">
        <v>159</v>
      </c>
      <c r="G266" s="202"/>
      <c r="H266" s="202" t="s">
        <v>883</v>
      </c>
      <c r="I266" s="202" t="s">
        <v>884</v>
      </c>
      <c r="J266" s="223" t="str">
        <f t="shared" si="12"/>
        <v>GoldSungEel HiMetal Co., Ltd.</v>
      </c>
      <c r="K266" s="223" t="str">
        <f t="shared" si="13"/>
        <v>GoldSungEel HiMetal Co., Ltd.</v>
      </c>
    </row>
    <row r="267" spans="1:11">
      <c r="A267" s="202" t="s">
        <v>134</v>
      </c>
      <c r="B267" s="202" t="s">
        <v>885</v>
      </c>
      <c r="C267" s="202" t="s">
        <v>881</v>
      </c>
      <c r="D267" s="202" t="s">
        <v>364</v>
      </c>
      <c r="E267" s="202" t="s">
        <v>882</v>
      </c>
      <c r="F267" s="202" t="s">
        <v>159</v>
      </c>
      <c r="G267" s="202"/>
      <c r="H267" s="202" t="s">
        <v>883</v>
      </c>
      <c r="I267" s="202" t="s">
        <v>884</v>
      </c>
      <c r="J267" s="223" t="str">
        <f t="shared" si="12"/>
        <v>GoldSungEel HiTech</v>
      </c>
      <c r="K267" s="223" t="str">
        <f t="shared" si="13"/>
        <v>GoldSungEel HiTech</v>
      </c>
    </row>
    <row r="268" spans="1:11">
      <c r="A268" s="202" t="s">
        <v>134</v>
      </c>
      <c r="B268" s="202" t="s">
        <v>886</v>
      </c>
      <c r="C268" s="202" t="s">
        <v>886</v>
      </c>
      <c r="D268" s="202" t="s">
        <v>858</v>
      </c>
      <c r="E268" s="202" t="s">
        <v>887</v>
      </c>
      <c r="F268" s="202" t="s">
        <v>159</v>
      </c>
      <c r="G268" s="202"/>
      <c r="H268" s="202" t="s">
        <v>861</v>
      </c>
      <c r="I268" s="202" t="s">
        <v>861</v>
      </c>
      <c r="J268" s="223" t="str">
        <f t="shared" si="12"/>
        <v>GoldSuper Dragon Technology Co., Ltd.</v>
      </c>
      <c r="K268" s="223" t="str">
        <f t="shared" si="13"/>
        <v>GoldSuper Dragon Technology Co., Ltd.</v>
      </c>
    </row>
    <row r="269" spans="1:11">
      <c r="A269" s="202" t="s">
        <v>134</v>
      </c>
      <c r="B269" s="202" t="s">
        <v>888</v>
      </c>
      <c r="C269" s="202" t="s">
        <v>888</v>
      </c>
      <c r="D269" s="202" t="s">
        <v>157</v>
      </c>
      <c r="E269" s="202" t="s">
        <v>889</v>
      </c>
      <c r="F269" s="202" t="s">
        <v>159</v>
      </c>
      <c r="G269" s="202"/>
      <c r="H269" s="202" t="s">
        <v>890</v>
      </c>
      <c r="I269" s="202" t="s">
        <v>333</v>
      </c>
      <c r="J269" s="223" t="str">
        <f t="shared" si="12"/>
        <v>GoldT.C.A S.p.A</v>
      </c>
      <c r="K269" s="223" t="str">
        <f t="shared" si="13"/>
        <v>GoldT.C.A S.p.A</v>
      </c>
    </row>
    <row r="270" spans="1:11">
      <c r="A270" s="202" t="s">
        <v>134</v>
      </c>
      <c r="B270" s="202" t="s">
        <v>891</v>
      </c>
      <c r="C270" s="202" t="s">
        <v>673</v>
      </c>
      <c r="D270" s="202" t="s">
        <v>193</v>
      </c>
      <c r="E270" s="202" t="s">
        <v>674</v>
      </c>
      <c r="F270" s="202" t="s">
        <v>159</v>
      </c>
      <c r="G270" s="202"/>
      <c r="H270" s="202" t="s">
        <v>675</v>
      </c>
      <c r="I270" s="202" t="s">
        <v>676</v>
      </c>
      <c r="J270" s="223" t="str">
        <f t="shared" si="12"/>
        <v>GoldTakehara Refinery</v>
      </c>
      <c r="K270" s="223" t="str">
        <f t="shared" si="13"/>
        <v>GoldTakehara Refinery</v>
      </c>
    </row>
    <row r="271" spans="1:11">
      <c r="A271" s="202" t="s">
        <v>134</v>
      </c>
      <c r="B271" s="202" t="s">
        <v>892</v>
      </c>
      <c r="C271" s="202" t="s">
        <v>533</v>
      </c>
      <c r="D271" s="202" t="s">
        <v>193</v>
      </c>
      <c r="E271" s="202" t="s">
        <v>534</v>
      </c>
      <c r="F271" s="202" t="s">
        <v>159</v>
      </c>
      <c r="G271" s="202"/>
      <c r="H271" s="202" t="s">
        <v>535</v>
      </c>
      <c r="I271" s="202" t="s">
        <v>536</v>
      </c>
      <c r="J271" s="223" t="str">
        <f t="shared" si="12"/>
        <v>GoldTamano Smelter</v>
      </c>
      <c r="K271" s="223" t="str">
        <f t="shared" si="13"/>
        <v>GoldTamano Smelter</v>
      </c>
    </row>
    <row r="272" spans="1:11">
      <c r="A272" s="202" t="s">
        <v>134</v>
      </c>
      <c r="B272" s="202" t="s">
        <v>893</v>
      </c>
      <c r="C272" s="202" t="s">
        <v>845</v>
      </c>
      <c r="D272" s="202" t="s">
        <v>193</v>
      </c>
      <c r="E272" s="202" t="s">
        <v>846</v>
      </c>
      <c r="F272" s="202" t="s">
        <v>159</v>
      </c>
      <c r="G272" s="202"/>
      <c r="H272" s="202" t="s">
        <v>847</v>
      </c>
      <c r="I272" s="202" t="s">
        <v>848</v>
      </c>
      <c r="J272" s="223" t="str">
        <f t="shared" si="12"/>
        <v>GoldTanaka Denshi Kogyo K.K</v>
      </c>
      <c r="K272" s="223" t="str">
        <f t="shared" si="13"/>
        <v>GoldTanaka Denshi Kogyo K.K</v>
      </c>
    </row>
    <row r="273" spans="1:11">
      <c r="A273" s="202" t="s">
        <v>134</v>
      </c>
      <c r="B273" s="202" t="s">
        <v>894</v>
      </c>
      <c r="C273" s="202" t="s">
        <v>845</v>
      </c>
      <c r="D273" s="202" t="s">
        <v>193</v>
      </c>
      <c r="E273" s="202" t="s">
        <v>846</v>
      </c>
      <c r="F273" s="202" t="s">
        <v>159</v>
      </c>
      <c r="G273" s="202"/>
      <c r="H273" s="202" t="s">
        <v>847</v>
      </c>
      <c r="I273" s="202" t="s">
        <v>848</v>
      </c>
      <c r="J273" s="223" t="str">
        <f t="shared" si="12"/>
        <v>GoldTanaka Electronics (Hong Kong) Pte. Ltd.</v>
      </c>
      <c r="K273" s="223" t="str">
        <f t="shared" si="13"/>
        <v>GoldTanaka Electronics (Hong Kong) Pte. Ltd.</v>
      </c>
    </row>
    <row r="274" spans="1:11">
      <c r="A274" s="202" t="s">
        <v>134</v>
      </c>
      <c r="B274" s="202" t="s">
        <v>895</v>
      </c>
      <c r="C274" s="202" t="s">
        <v>845</v>
      </c>
      <c r="D274" s="202" t="s">
        <v>193</v>
      </c>
      <c r="E274" s="202" t="s">
        <v>846</v>
      </c>
      <c r="F274" s="202" t="s">
        <v>159</v>
      </c>
      <c r="G274" s="202"/>
      <c r="H274" s="202" t="s">
        <v>847</v>
      </c>
      <c r="I274" s="202" t="s">
        <v>848</v>
      </c>
      <c r="J274" s="223" t="str">
        <f t="shared" si="12"/>
        <v>GoldTANAKA Electronics (Malaysia) SDN. BHD.</v>
      </c>
      <c r="K274" s="223" t="str">
        <f t="shared" si="13"/>
        <v>GoldTANAKA Electronics (Malaysia) SDN. BHD.</v>
      </c>
    </row>
    <row r="275" spans="1:11">
      <c r="A275" s="202" t="s">
        <v>134</v>
      </c>
      <c r="B275" s="202" t="s">
        <v>896</v>
      </c>
      <c r="C275" s="202" t="s">
        <v>845</v>
      </c>
      <c r="D275" s="202" t="s">
        <v>193</v>
      </c>
      <c r="E275" s="202" t="s">
        <v>846</v>
      </c>
      <c r="F275" s="202" t="s">
        <v>159</v>
      </c>
      <c r="G275" s="202"/>
      <c r="H275" s="202" t="s">
        <v>847</v>
      </c>
      <c r="I275" s="202" t="s">
        <v>848</v>
      </c>
      <c r="J275" s="223" t="str">
        <f t="shared" si="12"/>
        <v>GoldTanaka Electronics (Singapore) Pte. Ltd.</v>
      </c>
      <c r="K275" s="223" t="str">
        <f t="shared" si="13"/>
        <v>GoldTanaka Electronics (Singapore) Pte. Ltd.</v>
      </c>
    </row>
    <row r="276" spans="1:11">
      <c r="A276" s="202" t="s">
        <v>134</v>
      </c>
      <c r="B276" s="202" t="s">
        <v>897</v>
      </c>
      <c r="C276" s="202" t="s">
        <v>845</v>
      </c>
      <c r="D276" s="202" t="s">
        <v>193</v>
      </c>
      <c r="E276" s="202" t="s">
        <v>846</v>
      </c>
      <c r="F276" s="202" t="s">
        <v>159</v>
      </c>
      <c r="G276" s="202"/>
      <c r="H276" s="202" t="s">
        <v>847</v>
      </c>
      <c r="I276" s="202" t="s">
        <v>848</v>
      </c>
      <c r="J276" s="223" t="str">
        <f t="shared" si="12"/>
        <v>GoldTanaka Kikinzoku International</v>
      </c>
      <c r="K276" s="223" t="str">
        <f t="shared" si="13"/>
        <v>GoldTanaka Kikinzoku International</v>
      </c>
    </row>
    <row r="277" spans="1:11">
      <c r="A277" s="202" t="s">
        <v>134</v>
      </c>
      <c r="B277" s="202" t="s">
        <v>898</v>
      </c>
      <c r="C277" s="202" t="s">
        <v>845</v>
      </c>
      <c r="D277" s="202" t="s">
        <v>193</v>
      </c>
      <c r="E277" s="202" t="s">
        <v>846</v>
      </c>
      <c r="F277" s="202" t="s">
        <v>159</v>
      </c>
      <c r="G277" s="202"/>
      <c r="H277" s="202" t="s">
        <v>847</v>
      </c>
      <c r="I277" s="202" t="s">
        <v>848</v>
      </c>
      <c r="J277" s="223" t="str">
        <f t="shared" si="12"/>
        <v>GoldTanaka Kikinzoku Kogyo K.K</v>
      </c>
      <c r="K277" s="223" t="str">
        <f t="shared" si="13"/>
        <v>GoldTanaka Kikinzoku Kogyo K.K</v>
      </c>
    </row>
    <row r="278" spans="1:11">
      <c r="A278" s="202" t="s">
        <v>134</v>
      </c>
      <c r="B278" s="202" t="s">
        <v>845</v>
      </c>
      <c r="C278" s="202" t="s">
        <v>845</v>
      </c>
      <c r="D278" s="202" t="s">
        <v>193</v>
      </c>
      <c r="E278" s="202" t="s">
        <v>846</v>
      </c>
      <c r="F278" s="202" t="s">
        <v>159</v>
      </c>
      <c r="G278" s="202"/>
      <c r="H278" s="202" t="s">
        <v>847</v>
      </c>
      <c r="I278" s="182" t="s">
        <v>848</v>
      </c>
      <c r="J278" s="223" t="str">
        <f t="shared" si="12"/>
        <v>GoldTanaka Kikinzoku Kogyo K.K.</v>
      </c>
      <c r="K278" s="223" t="str">
        <f t="shared" si="13"/>
        <v>GoldTanaka Kikinzoku Kogyo K.K.</v>
      </c>
    </row>
    <row r="279" spans="1:11">
      <c r="A279" s="202" t="s">
        <v>134</v>
      </c>
      <c r="B279" s="202" t="s">
        <v>899</v>
      </c>
      <c r="C279" s="202" t="s">
        <v>845</v>
      </c>
      <c r="D279" s="202" t="s">
        <v>193</v>
      </c>
      <c r="E279" s="202" t="s">
        <v>846</v>
      </c>
      <c r="F279" s="202" t="s">
        <v>159</v>
      </c>
      <c r="G279" s="202"/>
      <c r="H279" s="202" t="s">
        <v>847</v>
      </c>
      <c r="I279" s="182" t="s">
        <v>848</v>
      </c>
      <c r="J279" s="223" t="str">
        <f t="shared" si="12"/>
        <v>GoldTanaka Precious Metals</v>
      </c>
      <c r="K279" s="223" t="str">
        <f t="shared" si="13"/>
        <v>GoldTanaka Precious Metals</v>
      </c>
    </row>
    <row r="280" spans="1:11">
      <c r="A280" s="202" t="s">
        <v>134</v>
      </c>
      <c r="B280" s="202" t="s">
        <v>900</v>
      </c>
      <c r="C280" s="202" t="s">
        <v>446</v>
      </c>
      <c r="D280" s="202" t="s">
        <v>237</v>
      </c>
      <c r="E280" s="202" t="s">
        <v>447</v>
      </c>
      <c r="F280" s="202" t="s">
        <v>159</v>
      </c>
      <c r="G280" s="202"/>
      <c r="H280" s="202" t="s">
        <v>448</v>
      </c>
      <c r="I280" s="202" t="s">
        <v>449</v>
      </c>
      <c r="J280" s="223" t="str">
        <f t="shared" si="12"/>
        <v>GoldThe Great Wall Gold and Silver Refinery of China</v>
      </c>
      <c r="K280" s="223" t="str">
        <f t="shared" si="13"/>
        <v>GoldThe Great Wall Gold and Silver Refinery of China</v>
      </c>
    </row>
    <row r="281" spans="1:11">
      <c r="A281" s="202" t="s">
        <v>134</v>
      </c>
      <c r="B281" s="202" t="s">
        <v>901</v>
      </c>
      <c r="C281" s="202" t="s">
        <v>187</v>
      </c>
      <c r="D281" s="202" t="s">
        <v>163</v>
      </c>
      <c r="E281" s="202" t="s">
        <v>188</v>
      </c>
      <c r="F281" s="202" t="s">
        <v>159</v>
      </c>
      <c r="G281" s="202"/>
      <c r="H281" s="202" t="s">
        <v>189</v>
      </c>
      <c r="I281" s="202" t="s">
        <v>190</v>
      </c>
      <c r="J281" s="223" t="str">
        <f t="shared" si="12"/>
        <v>GoldThe Perth Mint</v>
      </c>
      <c r="K281" s="223" t="str">
        <f t="shared" si="13"/>
        <v>GoldThe Perth Mint</v>
      </c>
    </row>
    <row r="282" spans="1:11">
      <c r="A282" s="202" t="s">
        <v>134</v>
      </c>
      <c r="B282" s="202" t="s">
        <v>902</v>
      </c>
      <c r="C282" s="202" t="s">
        <v>340</v>
      </c>
      <c r="D282" s="202" t="s">
        <v>237</v>
      </c>
      <c r="E282" s="202" t="s">
        <v>341</v>
      </c>
      <c r="F282" s="202" t="s">
        <v>159</v>
      </c>
      <c r="G282" s="202"/>
      <c r="H282" s="202" t="s">
        <v>342</v>
      </c>
      <c r="I282" s="182" t="s">
        <v>343</v>
      </c>
      <c r="J282" s="223" t="str">
        <f t="shared" si="12"/>
        <v>GoldThe Refinery of Shandong Gold Mining Co., Ltd.</v>
      </c>
      <c r="K282" s="223" t="str">
        <f t="shared" si="13"/>
        <v>GoldThe Refinery of Shandong Gold Mining Co., Ltd.</v>
      </c>
    </row>
    <row r="283" spans="1:11">
      <c r="A283" s="202" t="s">
        <v>134</v>
      </c>
      <c r="B283" s="202" t="s">
        <v>903</v>
      </c>
      <c r="C283" s="202" t="s">
        <v>903</v>
      </c>
      <c r="D283" s="202" t="s">
        <v>193</v>
      </c>
      <c r="E283" s="202" t="s">
        <v>904</v>
      </c>
      <c r="F283" s="202" t="s">
        <v>159</v>
      </c>
      <c r="G283" s="202"/>
      <c r="H283" s="202" t="s">
        <v>905</v>
      </c>
      <c r="I283" s="182" t="s">
        <v>379</v>
      </c>
      <c r="J283" s="223" t="str">
        <f t="shared" si="12"/>
        <v>GoldTokuriki Honten Co., Ltd.</v>
      </c>
      <c r="K283" s="223" t="str">
        <f t="shared" si="13"/>
        <v>GoldTokuriki Honten Co., Ltd.</v>
      </c>
    </row>
    <row r="284" spans="1:11">
      <c r="A284" s="202" t="s">
        <v>134</v>
      </c>
      <c r="B284" s="202" t="s">
        <v>236</v>
      </c>
      <c r="C284" s="202" t="s">
        <v>236</v>
      </c>
      <c r="D284" s="202" t="s">
        <v>237</v>
      </c>
      <c r="E284" s="202" t="s">
        <v>238</v>
      </c>
      <c r="F284" s="202" t="s">
        <v>159</v>
      </c>
      <c r="G284" s="202"/>
      <c r="H284" s="202" t="s">
        <v>239</v>
      </c>
      <c r="I284" s="202" t="s">
        <v>240</v>
      </c>
      <c r="J284" s="223" t="str">
        <f t="shared" si="12"/>
        <v>GoldTongling Nonferrous Metals Group Co., Ltd.</v>
      </c>
      <c r="K284" s="223" t="str">
        <f t="shared" si="13"/>
        <v>GoldTongling Nonferrous Metals Group Co., Ltd.</v>
      </c>
    </row>
    <row r="285" spans="1:11">
      <c r="A285" s="202" t="s">
        <v>134</v>
      </c>
      <c r="B285" s="202" t="s">
        <v>906</v>
      </c>
      <c r="C285" s="202" t="s">
        <v>236</v>
      </c>
      <c r="D285" s="202" t="s">
        <v>237</v>
      </c>
      <c r="E285" s="202" t="s">
        <v>238</v>
      </c>
      <c r="F285" s="202" t="s">
        <v>159</v>
      </c>
      <c r="G285" s="202"/>
      <c r="H285" s="202" t="s">
        <v>239</v>
      </c>
      <c r="I285" s="202" t="s">
        <v>240</v>
      </c>
      <c r="J285" s="223" t="str">
        <f t="shared" si="12"/>
        <v>GoldTongLing Nonferrous Metals Group Holdings Co., Ltd.</v>
      </c>
      <c r="K285" s="223" t="str">
        <f t="shared" si="13"/>
        <v>GoldTongLing Nonferrous Metals Group Holdings Co., Ltd.</v>
      </c>
    </row>
    <row r="286" spans="1:11">
      <c r="A286" s="202" t="s">
        <v>134</v>
      </c>
      <c r="B286" s="202" t="s">
        <v>907</v>
      </c>
      <c r="C286" s="202" t="s">
        <v>496</v>
      </c>
      <c r="D286" s="202" t="s">
        <v>497</v>
      </c>
      <c r="E286" s="202" t="s">
        <v>498</v>
      </c>
      <c r="F286" s="202" t="s">
        <v>159</v>
      </c>
      <c r="G286" s="202"/>
      <c r="H286" s="202" t="s">
        <v>499</v>
      </c>
      <c r="I286" s="202" t="s">
        <v>500</v>
      </c>
      <c r="J286" s="223" t="str">
        <f t="shared" si="12"/>
        <v>GoldTony Goetz NV</v>
      </c>
      <c r="K286" s="223" t="str">
        <f t="shared" si="13"/>
        <v>GoldTony Goetz NV</v>
      </c>
    </row>
    <row r="287" spans="1:11">
      <c r="A287" s="202" t="s">
        <v>134</v>
      </c>
      <c r="B287" s="202" t="s">
        <v>908</v>
      </c>
      <c r="C287" s="202" t="s">
        <v>908</v>
      </c>
      <c r="D287" s="202" t="s">
        <v>545</v>
      </c>
      <c r="E287" s="202" t="s">
        <v>909</v>
      </c>
      <c r="F287" s="202" t="s">
        <v>159</v>
      </c>
      <c r="G287" s="202"/>
      <c r="H287" s="202" t="s">
        <v>910</v>
      </c>
      <c r="I287" s="202" t="s">
        <v>911</v>
      </c>
      <c r="J287" s="223" t="str">
        <f t="shared" si="12"/>
        <v>GoldTOO Tau-Ken-Altyn</v>
      </c>
      <c r="K287" s="223" t="str">
        <f t="shared" si="13"/>
        <v>GoldTOO Tau-Ken-Altyn</v>
      </c>
    </row>
    <row r="288" spans="1:11">
      <c r="A288" s="202" t="s">
        <v>134</v>
      </c>
      <c r="B288" s="202" t="s">
        <v>912</v>
      </c>
      <c r="C288" s="202" t="s">
        <v>912</v>
      </c>
      <c r="D288" s="202" t="s">
        <v>364</v>
      </c>
      <c r="E288" s="202" t="s">
        <v>913</v>
      </c>
      <c r="F288" s="202" t="s">
        <v>159</v>
      </c>
      <c r="G288" s="202"/>
      <c r="H288" s="202" t="s">
        <v>914</v>
      </c>
      <c r="I288" s="202" t="s">
        <v>915</v>
      </c>
      <c r="J288" s="223" t="str">
        <f t="shared" si="12"/>
        <v>GoldTorecom</v>
      </c>
      <c r="K288" s="223" t="str">
        <f t="shared" si="13"/>
        <v>GoldTorecom</v>
      </c>
    </row>
    <row r="289" spans="1:11">
      <c r="A289" s="202" t="s">
        <v>134</v>
      </c>
      <c r="B289" s="202" t="s">
        <v>916</v>
      </c>
      <c r="C289" s="202" t="s">
        <v>612</v>
      </c>
      <c r="D289" s="202" t="s">
        <v>230</v>
      </c>
      <c r="E289" s="202" t="s">
        <v>613</v>
      </c>
      <c r="F289" s="202" t="s">
        <v>159</v>
      </c>
      <c r="G289" s="202"/>
      <c r="H289" s="202" t="s">
        <v>614</v>
      </c>
      <c r="I289" s="202" t="s">
        <v>615</v>
      </c>
      <c r="J289" s="223" t="str">
        <f t="shared" si="12"/>
        <v>GoldUbro-Union of Brazilian Refiners</v>
      </c>
      <c r="K289" s="223" t="str">
        <f t="shared" si="13"/>
        <v>GoldUbro-Union of Brazilian Refiners</v>
      </c>
    </row>
    <row r="290" spans="1:11">
      <c r="A290" s="202" t="s">
        <v>134</v>
      </c>
      <c r="B290" s="202" t="s">
        <v>917</v>
      </c>
      <c r="C290" s="202" t="s">
        <v>603</v>
      </c>
      <c r="D290" s="202" t="s">
        <v>364</v>
      </c>
      <c r="E290" s="202" t="s">
        <v>604</v>
      </c>
      <c r="F290" s="202" t="s">
        <v>159</v>
      </c>
      <c r="G290" s="202"/>
      <c r="H290" s="202" t="s">
        <v>605</v>
      </c>
      <c r="I290" s="202" t="s">
        <v>606</v>
      </c>
      <c r="J290" s="223" t="str">
        <f t="shared" si="12"/>
        <v>GoldUlsan LS</v>
      </c>
      <c r="K290" s="223" t="str">
        <f t="shared" si="13"/>
        <v>GoldUlsan LS</v>
      </c>
    </row>
    <row r="291" spans="1:11">
      <c r="A291" s="202" t="s">
        <v>134</v>
      </c>
      <c r="B291" s="202" t="s">
        <v>918</v>
      </c>
      <c r="C291" s="202" t="s">
        <v>644</v>
      </c>
      <c r="D291" s="202" t="s">
        <v>497</v>
      </c>
      <c r="E291" s="202" t="s">
        <v>645</v>
      </c>
      <c r="F291" s="202" t="s">
        <v>159</v>
      </c>
      <c r="G291" s="202"/>
      <c r="H291" s="202" t="s">
        <v>646</v>
      </c>
      <c r="I291" s="202" t="s">
        <v>500</v>
      </c>
      <c r="J291" s="223" t="str">
        <f t="shared" si="12"/>
        <v>GoldUmicore Precious Metals Refining Hoboken</v>
      </c>
      <c r="K291" s="223" t="str">
        <f t="shared" si="13"/>
        <v>GoldUmicore Precious Metals Refining Hoboken</v>
      </c>
    </row>
    <row r="292" spans="1:11">
      <c r="A292" s="202" t="s">
        <v>134</v>
      </c>
      <c r="B292" s="202" t="s">
        <v>919</v>
      </c>
      <c r="C292" s="202" t="s">
        <v>919</v>
      </c>
      <c r="D292" s="202" t="s">
        <v>920</v>
      </c>
      <c r="E292" s="202" t="s">
        <v>921</v>
      </c>
      <c r="F292" s="202" t="s">
        <v>159</v>
      </c>
      <c r="G292" s="202"/>
      <c r="H292" s="202" t="s">
        <v>922</v>
      </c>
      <c r="I292" s="182" t="s">
        <v>923</v>
      </c>
      <c r="J292" s="223" t="str">
        <f t="shared" si="12"/>
        <v>GoldUmicore Precious Metals Thailand</v>
      </c>
      <c r="K292" s="223" t="str">
        <f t="shared" si="13"/>
        <v>GoldUmicore Precious Metals Thailand</v>
      </c>
    </row>
    <row r="293" spans="1:11">
      <c r="A293" s="202" t="s">
        <v>134</v>
      </c>
      <c r="B293" s="202" t="s">
        <v>644</v>
      </c>
      <c r="C293" s="202" t="s">
        <v>644</v>
      </c>
      <c r="D293" s="202" t="s">
        <v>497</v>
      </c>
      <c r="E293" s="202" t="s">
        <v>645</v>
      </c>
      <c r="F293" s="202" t="s">
        <v>159</v>
      </c>
      <c r="G293" s="202"/>
      <c r="H293" s="202" t="s">
        <v>646</v>
      </c>
      <c r="I293" s="182" t="s">
        <v>500</v>
      </c>
      <c r="J293" s="223" t="str">
        <f t="shared" si="12"/>
        <v>GoldUmicore S.A. Business Unit Precious Metals Refining</v>
      </c>
      <c r="K293" s="223" t="str">
        <f t="shared" si="13"/>
        <v>GoldUmicore S.A. Business Unit Precious Metals Refining</v>
      </c>
    </row>
    <row r="294" spans="1:11">
      <c r="A294" s="202" t="s">
        <v>134</v>
      </c>
      <c r="B294" s="202" t="s">
        <v>924</v>
      </c>
      <c r="C294" s="202" t="s">
        <v>924</v>
      </c>
      <c r="D294" s="202" t="s">
        <v>168</v>
      </c>
      <c r="E294" s="202" t="s">
        <v>925</v>
      </c>
      <c r="F294" s="202" t="s">
        <v>159</v>
      </c>
      <c r="G294" s="202"/>
      <c r="H294" s="202" t="s">
        <v>926</v>
      </c>
      <c r="I294" s="202" t="s">
        <v>619</v>
      </c>
      <c r="J294" s="223" t="str">
        <f t="shared" si="12"/>
        <v>GoldUnited Precious Metal Refining, Inc.</v>
      </c>
      <c r="K294" s="223" t="str">
        <f t="shared" si="13"/>
        <v>GoldUnited Precious Metal Refining, Inc.</v>
      </c>
    </row>
    <row r="295" spans="1:11">
      <c r="A295" s="202" t="s">
        <v>134</v>
      </c>
      <c r="B295" s="202" t="s">
        <v>927</v>
      </c>
      <c r="C295" s="202" t="s">
        <v>927</v>
      </c>
      <c r="D295" s="202" t="s">
        <v>244</v>
      </c>
      <c r="E295" s="202" t="s">
        <v>928</v>
      </c>
      <c r="F295" s="202" t="s">
        <v>159</v>
      </c>
      <c r="G295" s="202"/>
      <c r="H295" s="202" t="s">
        <v>929</v>
      </c>
      <c r="I295" s="202" t="s">
        <v>247</v>
      </c>
      <c r="J295" s="223" t="str">
        <f t="shared" si="12"/>
        <v>GoldValcambi S.A.</v>
      </c>
      <c r="K295" s="223" t="str">
        <f t="shared" si="13"/>
        <v>GoldValcambi S.A.</v>
      </c>
    </row>
    <row r="296" spans="1:11">
      <c r="A296" s="202" t="s">
        <v>134</v>
      </c>
      <c r="B296" s="202" t="s">
        <v>930</v>
      </c>
      <c r="C296" s="202" t="s">
        <v>930</v>
      </c>
      <c r="D296" s="202" t="s">
        <v>777</v>
      </c>
      <c r="E296" s="202" t="s">
        <v>931</v>
      </c>
      <c r="F296" s="202" t="s">
        <v>159</v>
      </c>
      <c r="G296" s="202"/>
      <c r="H296" s="202" t="s">
        <v>932</v>
      </c>
      <c r="I296" s="202" t="s">
        <v>933</v>
      </c>
      <c r="J296" s="223" t="str">
        <f t="shared" si="12"/>
        <v>GoldWEEEREFINING</v>
      </c>
      <c r="K296" s="223" t="str">
        <f t="shared" si="13"/>
        <v>GoldWEEEREFINING</v>
      </c>
    </row>
    <row r="297" spans="1:11">
      <c r="A297" s="202" t="s">
        <v>134</v>
      </c>
      <c r="B297" s="202" t="s">
        <v>187</v>
      </c>
      <c r="C297" s="202" t="s">
        <v>187</v>
      </c>
      <c r="D297" s="202" t="s">
        <v>163</v>
      </c>
      <c r="E297" s="202" t="s">
        <v>188</v>
      </c>
      <c r="F297" s="202" t="s">
        <v>159</v>
      </c>
      <c r="G297" s="202"/>
      <c r="H297" s="202" t="s">
        <v>189</v>
      </c>
      <c r="I297" s="202" t="s">
        <v>190</v>
      </c>
      <c r="J297" s="223" t="str">
        <f t="shared" si="12"/>
        <v>GoldWestern Australian Mint (T/a The Perth Mint)</v>
      </c>
      <c r="K297" s="223" t="str">
        <f t="shared" si="13"/>
        <v>GoldWestern Australian Mint (T/a The Perth Mint)</v>
      </c>
    </row>
    <row r="298" spans="1:11">
      <c r="A298" s="202" t="s">
        <v>134</v>
      </c>
      <c r="B298" s="202" t="s">
        <v>934</v>
      </c>
      <c r="C298" s="202" t="s">
        <v>934</v>
      </c>
      <c r="D298" s="202" t="s">
        <v>182</v>
      </c>
      <c r="E298" s="202" t="s">
        <v>935</v>
      </c>
      <c r="F298" s="202" t="s">
        <v>159</v>
      </c>
      <c r="G298" s="202"/>
      <c r="H298" s="202" t="s">
        <v>184</v>
      </c>
      <c r="I298" s="202" t="s">
        <v>185</v>
      </c>
      <c r="J298" s="223" t="str">
        <f t="shared" si="12"/>
        <v>GoldWIELAND Edelmetalle GmbH</v>
      </c>
      <c r="K298" s="223" t="str">
        <f t="shared" si="13"/>
        <v>GoldWIELAND Edelmetalle GmbH</v>
      </c>
    </row>
    <row r="299" spans="1:11">
      <c r="A299" s="202" t="s">
        <v>134</v>
      </c>
      <c r="B299" s="202" t="s">
        <v>936</v>
      </c>
      <c r="C299" s="202" t="s">
        <v>616</v>
      </c>
      <c r="D299" s="202" t="s">
        <v>168</v>
      </c>
      <c r="E299" s="202" t="s">
        <v>617</v>
      </c>
      <c r="F299" s="202" t="s">
        <v>159</v>
      </c>
      <c r="G299" s="202"/>
      <c r="H299" s="202" t="s">
        <v>618</v>
      </c>
      <c r="I299" s="202" t="s">
        <v>619</v>
      </c>
      <c r="J299" s="223" t="str">
        <f t="shared" si="12"/>
        <v>GoldWilliams Advanced Materials</v>
      </c>
      <c r="K299" s="223" t="str">
        <f t="shared" si="13"/>
        <v>GoldWilliams Advanced Materials</v>
      </c>
    </row>
    <row r="300" spans="1:11">
      <c r="A300" s="202" t="s">
        <v>134</v>
      </c>
      <c r="B300" s="202" t="s">
        <v>937</v>
      </c>
      <c r="C300" s="202" t="s">
        <v>309</v>
      </c>
      <c r="D300" s="202" t="s">
        <v>249</v>
      </c>
      <c r="E300" s="202" t="s">
        <v>310</v>
      </c>
      <c r="F300" s="202" t="s">
        <v>159</v>
      </c>
      <c r="G300" s="202"/>
      <c r="H300" s="202" t="s">
        <v>311</v>
      </c>
      <c r="I300" s="202" t="s">
        <v>312</v>
      </c>
      <c r="J300" s="223" t="str">
        <f t="shared" si="12"/>
        <v>GoldXstrata</v>
      </c>
      <c r="K300" s="223" t="str">
        <f t="shared" si="13"/>
        <v>GoldXstrata</v>
      </c>
    </row>
    <row r="301" spans="1:11">
      <c r="A301" s="202" t="s">
        <v>134</v>
      </c>
      <c r="B301" s="202" t="s">
        <v>938</v>
      </c>
      <c r="C301" s="202" t="s">
        <v>938</v>
      </c>
      <c r="D301" s="202" t="s">
        <v>193</v>
      </c>
      <c r="E301" s="202" t="s">
        <v>939</v>
      </c>
      <c r="F301" s="202" t="s">
        <v>159</v>
      </c>
      <c r="G301" s="202"/>
      <c r="H301" s="202" t="s">
        <v>940</v>
      </c>
      <c r="I301" s="202" t="s">
        <v>941</v>
      </c>
      <c r="J301" s="223" t="str">
        <f t="shared" si="12"/>
        <v>GoldYamakin Co., Ltd.</v>
      </c>
      <c r="K301" s="223" t="str">
        <f t="shared" si="13"/>
        <v>GoldYamakin Co., Ltd.</v>
      </c>
    </row>
    <row r="302" spans="1:11">
      <c r="A302" s="202" t="s">
        <v>134</v>
      </c>
      <c r="B302" s="202" t="s">
        <v>942</v>
      </c>
      <c r="C302" s="202" t="s">
        <v>938</v>
      </c>
      <c r="D302" s="202" t="s">
        <v>193</v>
      </c>
      <c r="E302" s="202" t="s">
        <v>939</v>
      </c>
      <c r="F302" s="202" t="s">
        <v>159</v>
      </c>
      <c r="G302" s="202"/>
      <c r="H302" s="202" t="s">
        <v>940</v>
      </c>
      <c r="I302" s="202" t="s">
        <v>941</v>
      </c>
      <c r="J302" s="223" t="str">
        <f t="shared" si="12"/>
        <v>GoldYamamoto Precious Co., Ltd.</v>
      </c>
      <c r="K302" s="223" t="str">
        <f t="shared" si="13"/>
        <v>GoldYamamoto Precious Co., Ltd.</v>
      </c>
    </row>
    <row r="303" spans="1:11">
      <c r="A303" s="202" t="s">
        <v>134</v>
      </c>
      <c r="B303" s="202" t="s">
        <v>943</v>
      </c>
      <c r="C303" s="202" t="s">
        <v>938</v>
      </c>
      <c r="D303" s="202" t="s">
        <v>193</v>
      </c>
      <c r="E303" s="202" t="s">
        <v>939</v>
      </c>
      <c r="F303" s="202" t="s">
        <v>159</v>
      </c>
      <c r="G303" s="202"/>
      <c r="H303" s="202" t="s">
        <v>940</v>
      </c>
      <c r="I303" s="202" t="s">
        <v>941</v>
      </c>
      <c r="J303" s="223" t="str">
        <f t="shared" si="12"/>
        <v>GoldYamamoto Precious Metal Co., Ltd.</v>
      </c>
      <c r="K303" s="223" t="str">
        <f t="shared" si="13"/>
        <v>GoldYamamoto Precious Metal Co., Ltd.</v>
      </c>
    </row>
    <row r="304" spans="1:11">
      <c r="A304" s="202" t="s">
        <v>134</v>
      </c>
      <c r="B304" s="202" t="s">
        <v>944</v>
      </c>
      <c r="C304" s="202" t="s">
        <v>938</v>
      </c>
      <c r="D304" s="202" t="s">
        <v>193</v>
      </c>
      <c r="E304" s="202" t="s">
        <v>939</v>
      </c>
      <c r="F304" s="202" t="s">
        <v>159</v>
      </c>
      <c r="G304" s="202"/>
      <c r="H304" s="202" t="s">
        <v>940</v>
      </c>
      <c r="I304" s="202" t="s">
        <v>941</v>
      </c>
      <c r="J304" s="223" t="str">
        <f t="shared" si="12"/>
        <v>GoldYamamoto Precision Metals</v>
      </c>
      <c r="K304" s="223" t="str">
        <f t="shared" si="13"/>
        <v>GoldYamamoto Precision Metals</v>
      </c>
    </row>
    <row r="305" spans="1:11">
      <c r="A305" s="202" t="s">
        <v>134</v>
      </c>
      <c r="B305" s="202" t="s">
        <v>945</v>
      </c>
      <c r="C305" s="202" t="s">
        <v>456</v>
      </c>
      <c r="D305" s="202" t="s">
        <v>237</v>
      </c>
      <c r="E305" s="202" t="s">
        <v>457</v>
      </c>
      <c r="F305" s="202" t="s">
        <v>159</v>
      </c>
      <c r="G305" s="202"/>
      <c r="H305" s="202" t="s">
        <v>458</v>
      </c>
      <c r="I305" s="202" t="s">
        <v>343</v>
      </c>
      <c r="J305" s="223" t="str">
        <f t="shared" si="12"/>
        <v>GoldYantai NUS Safina tech environmental Refinery Co. Ltd.</v>
      </c>
      <c r="K305" s="223" t="str">
        <f t="shared" si="13"/>
        <v>GoldYantai NUS Safina tech environmental Refinery Co. Ltd.</v>
      </c>
    </row>
    <row r="306" spans="1:11">
      <c r="A306" s="202" t="s">
        <v>134</v>
      </c>
      <c r="B306" s="202" t="s">
        <v>946</v>
      </c>
      <c r="C306" s="202" t="s">
        <v>946</v>
      </c>
      <c r="D306" s="202" t="s">
        <v>193</v>
      </c>
      <c r="E306" s="202" t="s">
        <v>947</v>
      </c>
      <c r="F306" s="202" t="s">
        <v>159</v>
      </c>
      <c r="G306" s="202"/>
      <c r="H306" s="202" t="s">
        <v>948</v>
      </c>
      <c r="I306" s="202" t="s">
        <v>848</v>
      </c>
      <c r="J306" s="223" t="str">
        <f t="shared" si="12"/>
        <v>GoldYokohama Metal Co., Ltd.</v>
      </c>
      <c r="K306" s="223" t="str">
        <f t="shared" si="13"/>
        <v>GoldYokohama Metal Co., Ltd.</v>
      </c>
    </row>
    <row r="307" spans="1:11">
      <c r="A307" s="202" t="s">
        <v>134</v>
      </c>
      <c r="B307" s="202" t="s">
        <v>325</v>
      </c>
      <c r="C307" s="202" t="s">
        <v>325</v>
      </c>
      <c r="D307" s="202" t="s">
        <v>237</v>
      </c>
      <c r="E307" s="202" t="s">
        <v>326</v>
      </c>
      <c r="F307" s="202" t="s">
        <v>159</v>
      </c>
      <c r="G307" s="202"/>
      <c r="H307" s="202" t="s">
        <v>327</v>
      </c>
      <c r="I307" s="202" t="s">
        <v>328</v>
      </c>
      <c r="J307" s="223" t="str">
        <f t="shared" si="12"/>
        <v>GoldYunnan Copper Industry Co., Ltd.</v>
      </c>
      <c r="K307" s="223" t="str">
        <f t="shared" si="13"/>
        <v>GoldYunnan Copper Industry Co., Ltd.</v>
      </c>
    </row>
    <row r="308" spans="1:11">
      <c r="A308" s="202" t="s">
        <v>134</v>
      </c>
      <c r="B308" s="202" t="s">
        <v>949</v>
      </c>
      <c r="C308" s="202" t="s">
        <v>834</v>
      </c>
      <c r="D308" s="202" t="s">
        <v>237</v>
      </c>
      <c r="E308" s="202" t="s">
        <v>835</v>
      </c>
      <c r="F308" s="202" t="s">
        <v>159</v>
      </c>
      <c r="G308" s="202"/>
      <c r="H308" s="202" t="s">
        <v>458</v>
      </c>
      <c r="I308" s="202" t="s">
        <v>343</v>
      </c>
      <c r="J308" s="223" t="str">
        <f t="shared" si="12"/>
        <v>GoldZhao Jin Mining Industry Co Ltd</v>
      </c>
      <c r="K308" s="223" t="str">
        <f t="shared" si="13"/>
        <v>GoldZhao Jin Mining Industry Co Ltd</v>
      </c>
    </row>
    <row r="309" spans="1:11">
      <c r="A309" s="202" t="s">
        <v>134</v>
      </c>
      <c r="B309" s="202" t="s">
        <v>950</v>
      </c>
      <c r="C309" s="202" t="s">
        <v>834</v>
      </c>
      <c r="D309" s="202" t="s">
        <v>237</v>
      </c>
      <c r="E309" s="202" t="s">
        <v>835</v>
      </c>
      <c r="F309" s="202" t="s">
        <v>159</v>
      </c>
      <c r="G309" s="202"/>
      <c r="H309" s="202" t="s">
        <v>458</v>
      </c>
      <c r="I309" s="202" t="s">
        <v>343</v>
      </c>
      <c r="J309" s="223" t="str">
        <f t="shared" si="12"/>
        <v>GoldZhao Yuan Gold Mine</v>
      </c>
      <c r="K309" s="223" t="str">
        <f t="shared" si="13"/>
        <v>GoldZhao Yuan Gold Mine</v>
      </c>
    </row>
    <row r="310" spans="1:11">
      <c r="A310" s="202" t="s">
        <v>134</v>
      </c>
      <c r="B310" s="202" t="s">
        <v>951</v>
      </c>
      <c r="C310" s="202" t="s">
        <v>834</v>
      </c>
      <c r="D310" s="202" t="s">
        <v>237</v>
      </c>
      <c r="E310" s="202" t="s">
        <v>835</v>
      </c>
      <c r="F310" s="202" t="s">
        <v>159</v>
      </c>
      <c r="G310" s="202"/>
      <c r="H310" s="202" t="s">
        <v>458</v>
      </c>
      <c r="I310" s="202" t="s">
        <v>343</v>
      </c>
      <c r="J310" s="223" t="str">
        <f t="shared" si="12"/>
        <v>GoldZhao Yuan Gold Smelter of ZhongJin</v>
      </c>
      <c r="K310" s="223" t="str">
        <f t="shared" si="13"/>
        <v>GoldZhao Yuan Gold Smelter of ZhongJin</v>
      </c>
    </row>
    <row r="311" spans="1:11">
      <c r="A311" s="202" t="s">
        <v>134</v>
      </c>
      <c r="B311" s="202" t="s">
        <v>952</v>
      </c>
      <c r="C311" s="202" t="s">
        <v>834</v>
      </c>
      <c r="D311" s="202" t="s">
        <v>237</v>
      </c>
      <c r="E311" s="202" t="s">
        <v>835</v>
      </c>
      <c r="F311" s="202" t="s">
        <v>159</v>
      </c>
      <c r="G311" s="202"/>
      <c r="H311" s="202" t="s">
        <v>458</v>
      </c>
      <c r="I311" s="202" t="s">
        <v>343</v>
      </c>
      <c r="J311" s="223" t="str">
        <f t="shared" si="12"/>
        <v>GoldZhao Yuan Jin Kuang</v>
      </c>
      <c r="K311" s="223" t="str">
        <f t="shared" si="13"/>
        <v>GoldZhao Yuan Jin Kuang</v>
      </c>
    </row>
    <row r="312" spans="1:11">
      <c r="A312" s="202" t="s">
        <v>134</v>
      </c>
      <c r="B312" s="202" t="s">
        <v>953</v>
      </c>
      <c r="C312" s="202" t="s">
        <v>834</v>
      </c>
      <c r="D312" s="202" t="s">
        <v>237</v>
      </c>
      <c r="E312" s="202" t="s">
        <v>835</v>
      </c>
      <c r="F312" s="202" t="s">
        <v>159</v>
      </c>
      <c r="G312" s="202"/>
      <c r="H312" s="202" t="s">
        <v>458</v>
      </c>
      <c r="I312" s="202" t="s">
        <v>343</v>
      </c>
      <c r="J312" s="223" t="str">
        <f t="shared" si="12"/>
        <v>GoldZhaojin Mining Industry Co., Ltd.</v>
      </c>
      <c r="K312" s="223" t="str">
        <f t="shared" si="13"/>
        <v>GoldZhaojin Mining Industry Co., Ltd.</v>
      </c>
    </row>
    <row r="313" spans="1:11">
      <c r="A313" s="202" t="s">
        <v>134</v>
      </c>
      <c r="B313" s="202" t="s">
        <v>954</v>
      </c>
      <c r="C313" s="202" t="s">
        <v>834</v>
      </c>
      <c r="D313" s="202" t="s">
        <v>237</v>
      </c>
      <c r="E313" s="202" t="s">
        <v>835</v>
      </c>
      <c r="F313" s="202" t="s">
        <v>159</v>
      </c>
      <c r="G313" s="202"/>
      <c r="H313" s="202" t="s">
        <v>458</v>
      </c>
      <c r="I313" s="182" t="s">
        <v>343</v>
      </c>
      <c r="J313" s="223" t="str">
        <f t="shared" si="12"/>
        <v>Goldzhaojinjinyinyelian</v>
      </c>
      <c r="K313" s="223" t="str">
        <f t="shared" si="13"/>
        <v>Goldzhaojinjinyinyelian</v>
      </c>
    </row>
    <row r="314" spans="1:11">
      <c r="A314" s="202" t="s">
        <v>134</v>
      </c>
      <c r="B314" s="202" t="s">
        <v>955</v>
      </c>
      <c r="C314" s="202" t="s">
        <v>834</v>
      </c>
      <c r="D314" s="202" t="s">
        <v>237</v>
      </c>
      <c r="E314" s="202" t="s">
        <v>835</v>
      </c>
      <c r="F314" s="202" t="s">
        <v>159</v>
      </c>
      <c r="G314" s="202"/>
      <c r="H314" s="202" t="s">
        <v>458</v>
      </c>
      <c r="I314" s="182" t="s">
        <v>343</v>
      </c>
      <c r="J314" s="223" t="str">
        <f t="shared" si="12"/>
        <v>GoldZhaoyuan Gold Group</v>
      </c>
      <c r="K314" s="223" t="str">
        <f t="shared" si="13"/>
        <v>GoldZhaoyuan Gold Group</v>
      </c>
    </row>
    <row r="315" spans="1:11">
      <c r="A315" s="202" t="s">
        <v>134</v>
      </c>
      <c r="B315" s="202" t="s">
        <v>956</v>
      </c>
      <c r="C315" s="202" t="s">
        <v>335</v>
      </c>
      <c r="D315" s="202" t="s">
        <v>237</v>
      </c>
      <c r="E315" s="202" t="s">
        <v>336</v>
      </c>
      <c r="F315" s="202" t="s">
        <v>159</v>
      </c>
      <c r="G315" s="202"/>
      <c r="H315" s="202" t="s">
        <v>337</v>
      </c>
      <c r="I315" s="202" t="s">
        <v>338</v>
      </c>
      <c r="J315" s="223" t="str">
        <f t="shared" si="12"/>
        <v>GoldZhongjin Gold Corporation Limited</v>
      </c>
      <c r="K315" s="223" t="str">
        <f t="shared" si="13"/>
        <v>GoldZhongjin Gold Corporation Limited</v>
      </c>
    </row>
    <row r="316" spans="1:11">
      <c r="A316" s="202" t="s">
        <v>134</v>
      </c>
      <c r="B316" s="202" t="s">
        <v>335</v>
      </c>
      <c r="C316" s="202" t="s">
        <v>335</v>
      </c>
      <c r="D316" s="202" t="s">
        <v>237</v>
      </c>
      <c r="E316" s="202" t="s">
        <v>336</v>
      </c>
      <c r="F316" s="202" t="s">
        <v>159</v>
      </c>
      <c r="G316" s="202"/>
      <c r="H316" s="202" t="s">
        <v>337</v>
      </c>
      <c r="I316" s="202" t="s">
        <v>338</v>
      </c>
      <c r="J316" s="223" t="str">
        <f t="shared" si="12"/>
        <v>GoldZhongyuan Gold Smelter of Zhongjin Gold Corporation</v>
      </c>
      <c r="K316" s="223" t="str">
        <f t="shared" si="13"/>
        <v>GoldZhongyuan Gold Smelter of Zhongjin Gold Corporation</v>
      </c>
    </row>
    <row r="317" spans="1:11">
      <c r="A317" s="202" t="s">
        <v>134</v>
      </c>
      <c r="B317" s="202" t="s">
        <v>957</v>
      </c>
      <c r="C317" s="202" t="s">
        <v>425</v>
      </c>
      <c r="D317" s="202" t="s">
        <v>237</v>
      </c>
      <c r="E317" s="202" t="s">
        <v>426</v>
      </c>
      <c r="F317" s="202" t="s">
        <v>159</v>
      </c>
      <c r="G317" s="202"/>
      <c r="H317" s="202" t="s">
        <v>427</v>
      </c>
      <c r="I317" s="202" t="s">
        <v>428</v>
      </c>
      <c r="J317" s="223" t="str">
        <f t="shared" si="12"/>
        <v>GoldZijin Kuang Ye Refinery</v>
      </c>
      <c r="K317" s="223" t="str">
        <f t="shared" si="13"/>
        <v>GoldZijin Kuang Ye Refinery</v>
      </c>
    </row>
    <row r="318" spans="1:11">
      <c r="A318" s="202" t="s">
        <v>134</v>
      </c>
      <c r="B318" s="202" t="s">
        <v>958</v>
      </c>
      <c r="C318" s="202" t="s">
        <v>425</v>
      </c>
      <c r="D318" s="202" t="s">
        <v>237</v>
      </c>
      <c r="E318" s="202" t="s">
        <v>426</v>
      </c>
      <c r="F318" s="202" t="s">
        <v>159</v>
      </c>
      <c r="G318" s="202"/>
      <c r="H318" s="202" t="s">
        <v>427</v>
      </c>
      <c r="I318" s="202" t="s">
        <v>428</v>
      </c>
      <c r="J318" s="223" t="str">
        <f t="shared" si="12"/>
        <v>GoldZijin Mining Industry Corporation</v>
      </c>
      <c r="K318" s="223" t="str">
        <f t="shared" si="13"/>
        <v>GoldZijin Mining Industry Corporation</v>
      </c>
    </row>
    <row r="319" spans="1:11">
      <c r="A319" s="202" t="s">
        <v>134</v>
      </c>
      <c r="B319" s="202" t="s">
        <v>959</v>
      </c>
      <c r="C319" s="202"/>
      <c r="D319" s="202"/>
      <c r="E319" s="202"/>
      <c r="F319" s="202"/>
      <c r="G319" s="202"/>
      <c r="H319" s="202"/>
      <c r="I319" s="202"/>
      <c r="J319" s="223" t="str">
        <f t="shared" si="12"/>
        <v>GoldSmelter not listed</v>
      </c>
      <c r="K319" s="223" t="str">
        <f t="shared" si="13"/>
        <v>GoldSmelter not listed</v>
      </c>
    </row>
    <row r="320" spans="1:11">
      <c r="A320" s="202" t="s">
        <v>134</v>
      </c>
      <c r="B320" s="202" t="s">
        <v>138</v>
      </c>
      <c r="C320" s="202" t="s">
        <v>119</v>
      </c>
      <c r="D320" s="202" t="s">
        <v>119</v>
      </c>
      <c r="E320" s="202"/>
      <c r="F320" s="202"/>
      <c r="G320" s="202"/>
      <c r="H320" s="202"/>
      <c r="I320" s="202"/>
      <c r="J320" s="223" t="str">
        <f t="shared" si="12"/>
        <v>GoldSmelter not yet identified</v>
      </c>
      <c r="K320" s="223" t="str">
        <f t="shared" si="13"/>
        <v>GoldSmelter not yet identified</v>
      </c>
    </row>
    <row r="321" spans="1:11">
      <c r="A321" s="202" t="s">
        <v>131</v>
      </c>
      <c r="B321" s="202" t="s">
        <v>960</v>
      </c>
      <c r="C321" s="202" t="s">
        <v>960</v>
      </c>
      <c r="D321" s="202" t="s">
        <v>961</v>
      </c>
      <c r="E321" s="202" t="s">
        <v>962</v>
      </c>
      <c r="F321" s="202" t="s">
        <v>159</v>
      </c>
      <c r="G321" s="202"/>
      <c r="H321" s="202" t="s">
        <v>963</v>
      </c>
      <c r="I321" s="202" t="s">
        <v>963</v>
      </c>
      <c r="J321" s="223" t="str">
        <f t="shared" si="12"/>
        <v>Tantalum5D Production OU</v>
      </c>
      <c r="K321" s="223" t="str">
        <f t="shared" si="13"/>
        <v>Tantalum5D Production OU</v>
      </c>
    </row>
    <row r="322" spans="1:11">
      <c r="A322" s="202" t="s">
        <v>131</v>
      </c>
      <c r="B322" s="202" t="s">
        <v>964</v>
      </c>
      <c r="C322" s="202" t="s">
        <v>960</v>
      </c>
      <c r="D322" s="202" t="s">
        <v>961</v>
      </c>
      <c r="E322" s="202" t="s">
        <v>962</v>
      </c>
      <c r="F322" s="202" t="s">
        <v>159</v>
      </c>
      <c r="G322" s="202"/>
      <c r="H322" s="202" t="s">
        <v>963</v>
      </c>
      <c r="I322" s="202" t="s">
        <v>963</v>
      </c>
      <c r="J322" s="223" t="str">
        <f t="shared" si="12"/>
        <v>Tantalum5D Production OÜ</v>
      </c>
      <c r="K322" s="223" t="str">
        <f t="shared" si="13"/>
        <v>Tantalum5D Production OÜ</v>
      </c>
    </row>
    <row r="323" spans="1:11">
      <c r="A323" s="202" t="s">
        <v>131</v>
      </c>
      <c r="B323" s="202" t="s">
        <v>965</v>
      </c>
      <c r="C323" s="202" t="s">
        <v>965</v>
      </c>
      <c r="D323" s="202" t="s">
        <v>230</v>
      </c>
      <c r="E323" s="202" t="s">
        <v>966</v>
      </c>
      <c r="F323" s="202" t="s">
        <v>159</v>
      </c>
      <c r="G323" s="202"/>
      <c r="H323" s="202" t="s">
        <v>967</v>
      </c>
      <c r="I323" s="202" t="s">
        <v>233</v>
      </c>
      <c r="J323" s="223" t="str">
        <f t="shared" si="12"/>
        <v>TantalumAMG Brasil</v>
      </c>
      <c r="K323" s="223" t="str">
        <f t="shared" si="13"/>
        <v>TantalumAMG Brasil</v>
      </c>
    </row>
    <row r="324" spans="1:11">
      <c r="A324" s="202" t="s">
        <v>131</v>
      </c>
      <c r="B324" s="202" t="s">
        <v>968</v>
      </c>
      <c r="C324" s="202" t="s">
        <v>968</v>
      </c>
      <c r="D324" s="202" t="s">
        <v>237</v>
      </c>
      <c r="E324" s="202" t="s">
        <v>969</v>
      </c>
      <c r="F324" s="202" t="s">
        <v>159</v>
      </c>
      <c r="G324" s="202"/>
      <c r="H324" s="202" t="s">
        <v>970</v>
      </c>
      <c r="I324" s="202" t="s">
        <v>486</v>
      </c>
      <c r="J324" s="223" t="str">
        <f t="shared" si="12"/>
        <v>TantalumChangsha South Tantalum Niobium Co., Ltd.</v>
      </c>
      <c r="K324" s="223" t="str">
        <f t="shared" si="13"/>
        <v>TantalumChangsha South Tantalum Niobium Co., Ltd.</v>
      </c>
    </row>
    <row r="325" spans="1:11">
      <c r="A325" s="202" t="s">
        <v>131</v>
      </c>
      <c r="B325" s="202" t="s">
        <v>971</v>
      </c>
      <c r="C325" s="202" t="s">
        <v>968</v>
      </c>
      <c r="D325" s="202" t="s">
        <v>237</v>
      </c>
      <c r="E325" s="202" t="s">
        <v>969</v>
      </c>
      <c r="F325" s="202" t="s">
        <v>159</v>
      </c>
      <c r="G325" s="202"/>
      <c r="H325" s="202" t="s">
        <v>970</v>
      </c>
      <c r="I325" s="202" t="s">
        <v>486</v>
      </c>
      <c r="J325" s="223" t="str">
        <f t="shared" si="12"/>
        <v>TantalumChangsha Southern</v>
      </c>
      <c r="K325" s="223" t="str">
        <f t="shared" si="13"/>
        <v>TantalumChangsha Southern</v>
      </c>
    </row>
    <row r="326" spans="1:11">
      <c r="A326" s="202" t="s">
        <v>131</v>
      </c>
      <c r="B326" s="202" t="s">
        <v>972</v>
      </c>
      <c r="C326" s="202" t="s">
        <v>972</v>
      </c>
      <c r="D326" s="202" t="s">
        <v>168</v>
      </c>
      <c r="E326" s="202" t="s">
        <v>973</v>
      </c>
      <c r="F326" s="202" t="s">
        <v>159</v>
      </c>
      <c r="G326" s="202"/>
      <c r="H326" s="202" t="s">
        <v>974</v>
      </c>
      <c r="I326" s="202" t="s">
        <v>642</v>
      </c>
      <c r="J326" s="223" t="str">
        <f t="shared" ref="J326:J389" si="14">A326&amp;B326</f>
        <v>TantalumD Block Metals, LLC</v>
      </c>
      <c r="K326" s="223" t="str">
        <f t="shared" ref="K326:K389" si="15">A326&amp;B326</f>
        <v>TantalumD Block Metals, LLC</v>
      </c>
    </row>
    <row r="327" spans="1:11">
      <c r="A327" s="202" t="s">
        <v>131</v>
      </c>
      <c r="B327" s="202" t="s">
        <v>975</v>
      </c>
      <c r="C327" s="202" t="s">
        <v>976</v>
      </c>
      <c r="D327" s="202" t="s">
        <v>237</v>
      </c>
      <c r="E327" s="202" t="s">
        <v>977</v>
      </c>
      <c r="F327" s="202" t="s">
        <v>159</v>
      </c>
      <c r="G327" s="202"/>
      <c r="H327" s="202" t="s">
        <v>978</v>
      </c>
      <c r="I327" s="202" t="s">
        <v>454</v>
      </c>
      <c r="J327" s="223" t="str">
        <f t="shared" si="14"/>
        <v>TantalumF &amp; X</v>
      </c>
      <c r="K327" s="223" t="str">
        <f t="shared" si="15"/>
        <v>TantalumF &amp; X</v>
      </c>
    </row>
    <row r="328" spans="1:11">
      <c r="A328" s="202" t="s">
        <v>131</v>
      </c>
      <c r="B328" s="202" t="s">
        <v>976</v>
      </c>
      <c r="C328" s="202" t="s">
        <v>976</v>
      </c>
      <c r="D328" s="202" t="s">
        <v>237</v>
      </c>
      <c r="E328" s="202" t="s">
        <v>977</v>
      </c>
      <c r="F328" s="202" t="s">
        <v>159</v>
      </c>
      <c r="G328" s="202"/>
      <c r="H328" s="202" t="s">
        <v>978</v>
      </c>
      <c r="I328" s="202" t="s">
        <v>454</v>
      </c>
      <c r="J328" s="223" t="str">
        <f t="shared" si="14"/>
        <v>TantalumF&amp;X Electro-Materials Ltd.</v>
      </c>
      <c r="K328" s="223" t="str">
        <f t="shared" si="15"/>
        <v>TantalumF&amp;X Electro-Materials Ltd.</v>
      </c>
    </row>
    <row r="329" spans="1:11">
      <c r="A329" s="202" t="s">
        <v>131</v>
      </c>
      <c r="B329" s="202" t="s">
        <v>979</v>
      </c>
      <c r="C329" s="202" t="s">
        <v>979</v>
      </c>
      <c r="D329" s="202" t="s">
        <v>237</v>
      </c>
      <c r="E329" s="202" t="s">
        <v>980</v>
      </c>
      <c r="F329" s="202" t="s">
        <v>159</v>
      </c>
      <c r="G329" s="202"/>
      <c r="H329" s="202" t="s">
        <v>981</v>
      </c>
      <c r="I329" s="202" t="s">
        <v>486</v>
      </c>
      <c r="J329" s="223" t="str">
        <f t="shared" si="14"/>
        <v>TantalumFIR Metals &amp; Resource Ltd.</v>
      </c>
      <c r="K329" s="223" t="str">
        <f t="shared" si="15"/>
        <v>TantalumFIR Metals &amp; Resource Ltd.</v>
      </c>
    </row>
    <row r="330" spans="1:11">
      <c r="A330" s="202" t="s">
        <v>131</v>
      </c>
      <c r="B330" s="202" t="s">
        <v>982</v>
      </c>
      <c r="C330" s="202" t="s">
        <v>982</v>
      </c>
      <c r="D330" s="202" t="s">
        <v>193</v>
      </c>
      <c r="E330" s="202" t="s">
        <v>983</v>
      </c>
      <c r="F330" s="202" t="s">
        <v>159</v>
      </c>
      <c r="G330" s="202"/>
      <c r="H330" s="202" t="s">
        <v>984</v>
      </c>
      <c r="I330" s="202" t="s">
        <v>260</v>
      </c>
      <c r="J330" s="223" t="str">
        <f t="shared" si="14"/>
        <v>TantalumGlobal Advanced Metals Aizu</v>
      </c>
      <c r="K330" s="223" t="str">
        <f t="shared" si="15"/>
        <v>TantalumGlobal Advanced Metals Aizu</v>
      </c>
    </row>
    <row r="331" spans="1:11">
      <c r="A331" s="202" t="s">
        <v>131</v>
      </c>
      <c r="B331" s="202" t="s">
        <v>985</v>
      </c>
      <c r="C331" s="202" t="s">
        <v>985</v>
      </c>
      <c r="D331" s="202" t="s">
        <v>168</v>
      </c>
      <c r="E331" s="202" t="s">
        <v>986</v>
      </c>
      <c r="F331" s="202" t="s">
        <v>159</v>
      </c>
      <c r="G331" s="202"/>
      <c r="H331" s="202" t="s">
        <v>987</v>
      </c>
      <c r="I331" s="202" t="s">
        <v>171</v>
      </c>
      <c r="J331" s="223" t="str">
        <f t="shared" si="14"/>
        <v>TantalumGlobal Advanced Metals Boyertown</v>
      </c>
      <c r="K331" s="223" t="str">
        <f t="shared" si="15"/>
        <v>TantalumGlobal Advanced Metals Boyertown</v>
      </c>
    </row>
    <row r="332" spans="1:11">
      <c r="A332" s="202" t="s">
        <v>131</v>
      </c>
      <c r="B332" s="202" t="s">
        <v>988</v>
      </c>
      <c r="C332" s="202" t="s">
        <v>989</v>
      </c>
      <c r="D332" s="202" t="s">
        <v>237</v>
      </c>
      <c r="E332" s="202" t="s">
        <v>990</v>
      </c>
      <c r="F332" s="202" t="s">
        <v>159</v>
      </c>
      <c r="G332" s="202"/>
      <c r="H332" s="202" t="s">
        <v>991</v>
      </c>
      <c r="I332" s="202" t="s">
        <v>454</v>
      </c>
      <c r="J332" s="223" t="str">
        <f t="shared" si="14"/>
        <v>TantalumGuangdong Zhiyuan New Material Co., Ltd.</v>
      </c>
      <c r="K332" s="223" t="str">
        <f t="shared" si="15"/>
        <v>TantalumGuangdong Zhiyuan New Material Co., Ltd.</v>
      </c>
    </row>
    <row r="333" spans="1:11">
      <c r="A333" s="202" t="s">
        <v>131</v>
      </c>
      <c r="B333" s="202" t="s">
        <v>992</v>
      </c>
      <c r="C333" s="202" t="s">
        <v>993</v>
      </c>
      <c r="D333" s="202" t="s">
        <v>920</v>
      </c>
      <c r="E333" s="202" t="s">
        <v>994</v>
      </c>
      <c r="F333" s="202" t="s">
        <v>159</v>
      </c>
      <c r="G333" s="202"/>
      <c r="H333" s="202" t="s">
        <v>995</v>
      </c>
      <c r="I333" s="202" t="s">
        <v>996</v>
      </c>
      <c r="J333" s="223" t="str">
        <f t="shared" si="14"/>
        <v>TantalumH.C. Starck Co., Ltd.</v>
      </c>
      <c r="K333" s="223" t="str">
        <f t="shared" si="15"/>
        <v>TantalumH.C. Starck Co., Ltd.</v>
      </c>
    </row>
    <row r="334" spans="1:11">
      <c r="A334" s="202" t="s">
        <v>131</v>
      </c>
      <c r="B334" s="202" t="s">
        <v>997</v>
      </c>
      <c r="C334" s="202" t="s">
        <v>998</v>
      </c>
      <c r="D334" s="202" t="s">
        <v>168</v>
      </c>
      <c r="E334" s="202" t="s">
        <v>999</v>
      </c>
      <c r="F334" s="202" t="s">
        <v>159</v>
      </c>
      <c r="G334" s="202"/>
      <c r="H334" s="202" t="s">
        <v>1000</v>
      </c>
      <c r="I334" s="202" t="s">
        <v>666</v>
      </c>
      <c r="J334" s="223" t="str">
        <f t="shared" si="14"/>
        <v>TantalumH.C. Starck Inc.</v>
      </c>
      <c r="K334" s="223" t="str">
        <f t="shared" si="15"/>
        <v>TantalumH.C. Starck Inc.</v>
      </c>
    </row>
    <row r="335" spans="1:11">
      <c r="A335" s="202" t="s">
        <v>131</v>
      </c>
      <c r="B335" s="202" t="s">
        <v>1001</v>
      </c>
      <c r="C335" s="202" t="s">
        <v>1002</v>
      </c>
      <c r="D335" s="202" t="s">
        <v>193</v>
      </c>
      <c r="E335" s="202" t="s">
        <v>1003</v>
      </c>
      <c r="F335" s="202" t="s">
        <v>159</v>
      </c>
      <c r="G335" s="202"/>
      <c r="H335" s="202" t="s">
        <v>1004</v>
      </c>
      <c r="I335" s="202" t="s">
        <v>1005</v>
      </c>
      <c r="J335" s="223" t="str">
        <f t="shared" si="14"/>
        <v>TantalumH.C. Starck Ltd.</v>
      </c>
      <c r="K335" s="223" t="str">
        <f t="shared" si="15"/>
        <v>TantalumH.C. Starck Ltd.</v>
      </c>
    </row>
    <row r="336" spans="1:11">
      <c r="A336" s="202" t="s">
        <v>131</v>
      </c>
      <c r="B336" s="202" t="s">
        <v>1006</v>
      </c>
      <c r="C336" s="202" t="s">
        <v>1007</v>
      </c>
      <c r="D336" s="202" t="s">
        <v>182</v>
      </c>
      <c r="E336" s="202" t="s">
        <v>1008</v>
      </c>
      <c r="F336" s="202" t="s">
        <v>159</v>
      </c>
      <c r="G336" s="202"/>
      <c r="H336" s="202" t="s">
        <v>1009</v>
      </c>
      <c r="I336" s="202" t="s">
        <v>185</v>
      </c>
      <c r="J336" s="223" t="str">
        <f t="shared" si="14"/>
        <v>TantalumH.C. Starck Smelting GmbH &amp; Co. KG</v>
      </c>
      <c r="K336" s="223" t="str">
        <f t="shared" si="15"/>
        <v>TantalumH.C. Starck Smelting GmbH &amp; Co. KG</v>
      </c>
    </row>
    <row r="337" spans="1:11">
      <c r="A337" s="202" t="s">
        <v>131</v>
      </c>
      <c r="B337" s="202" t="s">
        <v>1010</v>
      </c>
      <c r="C337" s="202" t="s">
        <v>1011</v>
      </c>
      <c r="D337" s="202" t="s">
        <v>182</v>
      </c>
      <c r="E337" s="202" t="s">
        <v>1012</v>
      </c>
      <c r="F337" s="202" t="s">
        <v>159</v>
      </c>
      <c r="G337" s="202"/>
      <c r="H337" s="202" t="s">
        <v>1013</v>
      </c>
      <c r="I337" s="202" t="s">
        <v>1014</v>
      </c>
      <c r="J337" s="223" t="str">
        <f t="shared" si="14"/>
        <v>TantalumH.C. Starck Tantalum and Niobium GmbH</v>
      </c>
      <c r="K337" s="223" t="str">
        <f t="shared" si="15"/>
        <v>TantalumH.C. Starck Tantalum and Niobium GmbH</v>
      </c>
    </row>
    <row r="338" spans="1:11">
      <c r="A338" s="202" t="s">
        <v>131</v>
      </c>
      <c r="B338" s="202" t="s">
        <v>1015</v>
      </c>
      <c r="C338" s="202" t="s">
        <v>1015</v>
      </c>
      <c r="D338" s="202" t="s">
        <v>237</v>
      </c>
      <c r="E338" s="202" t="s">
        <v>1016</v>
      </c>
      <c r="F338" s="202" t="s">
        <v>159</v>
      </c>
      <c r="G338" s="202"/>
      <c r="H338" s="202" t="s">
        <v>1017</v>
      </c>
      <c r="I338" s="202" t="s">
        <v>486</v>
      </c>
      <c r="J338" s="223" t="str">
        <f t="shared" si="14"/>
        <v>TantalumHengyang King Xing Lifeng New Materials Co., Ltd.</v>
      </c>
      <c r="K338" s="223" t="str">
        <f t="shared" si="15"/>
        <v>TantalumHengyang King Xing Lifeng New Materials Co., Ltd.</v>
      </c>
    </row>
    <row r="339" spans="1:11">
      <c r="A339" s="202" t="s">
        <v>131</v>
      </c>
      <c r="B339" s="202" t="s">
        <v>1018</v>
      </c>
      <c r="C339" s="202" t="s">
        <v>1018</v>
      </c>
      <c r="D339" s="202" t="s">
        <v>237</v>
      </c>
      <c r="E339" s="202" t="s">
        <v>1019</v>
      </c>
      <c r="F339" s="202" t="s">
        <v>159</v>
      </c>
      <c r="G339" s="202"/>
      <c r="H339" s="202" t="s">
        <v>1020</v>
      </c>
      <c r="I339" s="202" t="s">
        <v>526</v>
      </c>
      <c r="J339" s="223" t="str">
        <f t="shared" si="14"/>
        <v>TantalumJiangxi Dinghai Tantalum &amp; Niobium Co., Ltd.</v>
      </c>
      <c r="K339" s="223" t="str">
        <f t="shared" si="15"/>
        <v>TantalumJiangxi Dinghai Tantalum &amp; Niobium Co., Ltd.</v>
      </c>
    </row>
    <row r="340" spans="1:11">
      <c r="A340" s="202" t="s">
        <v>131</v>
      </c>
      <c r="B340" s="202" t="s">
        <v>1021</v>
      </c>
      <c r="C340" s="202" t="s">
        <v>1021</v>
      </c>
      <c r="D340" s="202" t="s">
        <v>237</v>
      </c>
      <c r="E340" s="202" t="s">
        <v>1022</v>
      </c>
      <c r="F340" s="202" t="s">
        <v>159</v>
      </c>
      <c r="G340" s="202"/>
      <c r="H340" s="202" t="s">
        <v>1023</v>
      </c>
      <c r="I340" s="202" t="s">
        <v>526</v>
      </c>
      <c r="J340" s="223" t="str">
        <f t="shared" si="14"/>
        <v>TantalumJiangxi Tuohong New Raw Material</v>
      </c>
      <c r="K340" s="223" t="str">
        <f t="shared" si="15"/>
        <v>TantalumJiangxi Tuohong New Raw Material</v>
      </c>
    </row>
    <row r="341" spans="1:11">
      <c r="A341" s="202" t="s">
        <v>131</v>
      </c>
      <c r="B341" s="202" t="s">
        <v>1024</v>
      </c>
      <c r="C341" s="202" t="s">
        <v>1024</v>
      </c>
      <c r="D341" s="202" t="s">
        <v>237</v>
      </c>
      <c r="E341" s="202" t="s">
        <v>1025</v>
      </c>
      <c r="F341" s="202" t="s">
        <v>159</v>
      </c>
      <c r="G341" s="202"/>
      <c r="H341" s="202" t="s">
        <v>1026</v>
      </c>
      <c r="I341" s="202" t="s">
        <v>526</v>
      </c>
      <c r="J341" s="223" t="str">
        <f t="shared" si="14"/>
        <v>TantalumJiuJiang JinXin Nonferrous Metals Co., Ltd.</v>
      </c>
      <c r="K341" s="223" t="str">
        <f t="shared" si="15"/>
        <v>TantalumJiuJiang JinXin Nonferrous Metals Co., Ltd.</v>
      </c>
    </row>
    <row r="342" spans="1:11">
      <c r="A342" s="202" t="s">
        <v>131</v>
      </c>
      <c r="B342" s="202" t="s">
        <v>1027</v>
      </c>
      <c r="C342" s="202" t="s">
        <v>1028</v>
      </c>
      <c r="D342" s="202" t="s">
        <v>237</v>
      </c>
      <c r="E342" s="202" t="s">
        <v>1029</v>
      </c>
      <c r="F342" s="202" t="s">
        <v>159</v>
      </c>
      <c r="G342" s="202"/>
      <c r="H342" s="202" t="s">
        <v>1026</v>
      </c>
      <c r="I342" s="202" t="s">
        <v>526</v>
      </c>
      <c r="J342" s="223" t="str">
        <f t="shared" si="14"/>
        <v>TantalumJiujiang Nonferrous Metals Smelting Company Limited</v>
      </c>
      <c r="K342" s="223" t="str">
        <f t="shared" si="15"/>
        <v>TantalumJiujiang Nonferrous Metals Smelting Company Limited</v>
      </c>
    </row>
    <row r="343" spans="1:11">
      <c r="A343" s="202" t="s">
        <v>131</v>
      </c>
      <c r="B343" s="202" t="s">
        <v>1028</v>
      </c>
      <c r="C343" s="202" t="s">
        <v>1028</v>
      </c>
      <c r="D343" s="202" t="s">
        <v>237</v>
      </c>
      <c r="E343" s="202" t="s">
        <v>1029</v>
      </c>
      <c r="F343" s="202" t="s">
        <v>159</v>
      </c>
      <c r="G343" s="202"/>
      <c r="H343" s="202" t="s">
        <v>1026</v>
      </c>
      <c r="I343" s="202" t="s">
        <v>526</v>
      </c>
      <c r="J343" s="223" t="str">
        <f t="shared" si="14"/>
        <v>TantalumJiujiang Tanbre Co., Ltd.</v>
      </c>
      <c r="K343" s="223" t="str">
        <f t="shared" si="15"/>
        <v>TantalumJiujiang Tanbre Co., Ltd.</v>
      </c>
    </row>
    <row r="344" spans="1:11">
      <c r="A344" s="202" t="s">
        <v>131</v>
      </c>
      <c r="B344" s="202" t="s">
        <v>1030</v>
      </c>
      <c r="C344" s="202" t="s">
        <v>1030</v>
      </c>
      <c r="D344" s="202" t="s">
        <v>237</v>
      </c>
      <c r="E344" s="202" t="s">
        <v>1031</v>
      </c>
      <c r="F344" s="202" t="s">
        <v>159</v>
      </c>
      <c r="G344" s="202"/>
      <c r="H344" s="202" t="s">
        <v>1026</v>
      </c>
      <c r="I344" s="202" t="s">
        <v>526</v>
      </c>
      <c r="J344" s="223" t="str">
        <f t="shared" si="14"/>
        <v>TantalumJiujiang Zhongao Tantalum &amp; Niobium Co., Ltd.</v>
      </c>
      <c r="K344" s="223" t="str">
        <f t="shared" si="15"/>
        <v>TantalumJiujiang Zhongao Tantalum &amp; Niobium Co., Ltd.</v>
      </c>
    </row>
    <row r="345" spans="1:11">
      <c r="A345" s="202" t="s">
        <v>131</v>
      </c>
      <c r="B345" s="202" t="s">
        <v>1032</v>
      </c>
      <c r="C345" s="202" t="s">
        <v>1033</v>
      </c>
      <c r="D345" s="202" t="s">
        <v>304</v>
      </c>
      <c r="E345" s="202" t="s">
        <v>1034</v>
      </c>
      <c r="F345" s="202" t="s">
        <v>159</v>
      </c>
      <c r="G345" s="202"/>
      <c r="H345" s="202" t="s">
        <v>1035</v>
      </c>
      <c r="I345" s="202" t="s">
        <v>1036</v>
      </c>
      <c r="J345" s="223" t="str">
        <f t="shared" si="14"/>
        <v>TantalumKEMET Blue Metals</v>
      </c>
      <c r="K345" s="223" t="str">
        <f t="shared" si="15"/>
        <v>TantalumKEMET Blue Metals</v>
      </c>
    </row>
    <row r="346" spans="1:11">
      <c r="A346" s="202" t="s">
        <v>131</v>
      </c>
      <c r="B346" s="202" t="s">
        <v>1033</v>
      </c>
      <c r="C346" s="202" t="s">
        <v>1033</v>
      </c>
      <c r="D346" s="202" t="s">
        <v>304</v>
      </c>
      <c r="E346" s="202" t="s">
        <v>1034</v>
      </c>
      <c r="F346" s="202" t="s">
        <v>159</v>
      </c>
      <c r="G346" s="202"/>
      <c r="H346" s="202" t="s">
        <v>1035</v>
      </c>
      <c r="I346" s="202" t="s">
        <v>1036</v>
      </c>
      <c r="J346" s="223" t="str">
        <f t="shared" si="14"/>
        <v>TantalumKEMET de Mexico</v>
      </c>
      <c r="K346" s="223" t="str">
        <f t="shared" si="15"/>
        <v>TantalumKEMET de Mexico</v>
      </c>
    </row>
    <row r="347" spans="1:11">
      <c r="A347" s="202" t="s">
        <v>131</v>
      </c>
      <c r="B347" s="202" t="s">
        <v>1037</v>
      </c>
      <c r="C347" s="202" t="s">
        <v>965</v>
      </c>
      <c r="D347" s="202" t="s">
        <v>230</v>
      </c>
      <c r="E347" s="202" t="s">
        <v>966</v>
      </c>
      <c r="F347" s="202" t="s">
        <v>159</v>
      </c>
      <c r="G347" s="202"/>
      <c r="H347" s="202" t="s">
        <v>967</v>
      </c>
      <c r="I347" s="202" t="s">
        <v>233</v>
      </c>
      <c r="J347" s="223" t="str">
        <f t="shared" si="14"/>
        <v>TantalumLSM Brasil S.A.</v>
      </c>
      <c r="K347" s="223" t="str">
        <f t="shared" si="15"/>
        <v>TantalumLSM Brasil S.A.</v>
      </c>
    </row>
    <row r="348" spans="1:11">
      <c r="A348" s="202" t="s">
        <v>131</v>
      </c>
      <c r="B348" s="202" t="s">
        <v>998</v>
      </c>
      <c r="C348" s="202" t="s">
        <v>998</v>
      </c>
      <c r="D348" s="202" t="s">
        <v>168</v>
      </c>
      <c r="E348" s="202" t="s">
        <v>999</v>
      </c>
      <c r="F348" s="202" t="s">
        <v>159</v>
      </c>
      <c r="G348" s="202"/>
      <c r="H348" s="202" t="s">
        <v>1000</v>
      </c>
      <c r="I348" s="202" t="s">
        <v>666</v>
      </c>
      <c r="J348" s="223" t="str">
        <f t="shared" si="14"/>
        <v>TantalumMaterion Newton Inc.</v>
      </c>
      <c r="K348" s="223" t="str">
        <f t="shared" si="15"/>
        <v>TantalumMaterion Newton Inc.</v>
      </c>
    </row>
    <row r="349" spans="1:11">
      <c r="A349" s="202" t="s">
        <v>131</v>
      </c>
      <c r="B349" s="202" t="s">
        <v>1038</v>
      </c>
      <c r="C349" s="202" t="s">
        <v>1039</v>
      </c>
      <c r="D349" s="202" t="s">
        <v>273</v>
      </c>
      <c r="E349" s="202" t="s">
        <v>1040</v>
      </c>
      <c r="F349" s="202" t="s">
        <v>159</v>
      </c>
      <c r="G349" s="202"/>
      <c r="H349" s="202" t="s">
        <v>1041</v>
      </c>
      <c r="I349" s="202" t="s">
        <v>276</v>
      </c>
      <c r="J349" s="223" t="str">
        <f t="shared" si="14"/>
        <v>TantalumMetallurgical Products India Pvt. Ltd. (MPIL)</v>
      </c>
      <c r="K349" s="223" t="str">
        <f t="shared" si="15"/>
        <v>TantalumMetallurgical Products India Pvt. Ltd. (MPIL)</v>
      </c>
    </row>
    <row r="350" spans="1:11">
      <c r="A350" s="202" t="s">
        <v>131</v>
      </c>
      <c r="B350" s="202" t="s">
        <v>1039</v>
      </c>
      <c r="C350" s="202" t="s">
        <v>1039</v>
      </c>
      <c r="D350" s="202" t="s">
        <v>273</v>
      </c>
      <c r="E350" s="202" t="s">
        <v>1040</v>
      </c>
      <c r="F350" s="202" t="s">
        <v>159</v>
      </c>
      <c r="G350" s="202"/>
      <c r="H350" s="202" t="s">
        <v>1041</v>
      </c>
      <c r="I350" s="182" t="s">
        <v>276</v>
      </c>
      <c r="J350" s="223" t="str">
        <f t="shared" si="14"/>
        <v>TantalumMetallurgical Products India Pvt., Ltd.</v>
      </c>
      <c r="K350" s="223" t="str">
        <f t="shared" si="15"/>
        <v>TantalumMetallurgical Products India Pvt., Ltd.</v>
      </c>
    </row>
    <row r="351" spans="1:11">
      <c r="A351" s="202" t="s">
        <v>131</v>
      </c>
      <c r="B351" s="202" t="s">
        <v>1042</v>
      </c>
      <c r="C351" s="202" t="s">
        <v>1042</v>
      </c>
      <c r="D351" s="202" t="s">
        <v>230</v>
      </c>
      <c r="E351" s="202" t="s">
        <v>1043</v>
      </c>
      <c r="F351" s="202" t="s">
        <v>159</v>
      </c>
      <c r="G351" s="202"/>
      <c r="H351" s="202" t="s">
        <v>1044</v>
      </c>
      <c r="I351" s="182" t="s">
        <v>350</v>
      </c>
      <c r="J351" s="223" t="str">
        <f t="shared" si="14"/>
        <v>TantalumMineracao Taboca S.A.</v>
      </c>
      <c r="K351" s="223" t="str">
        <f t="shared" si="15"/>
        <v>TantalumMineracao Taboca S.A.</v>
      </c>
    </row>
    <row r="352" spans="1:11">
      <c r="A352" s="202" t="s">
        <v>131</v>
      </c>
      <c r="B352" s="202" t="s">
        <v>1045</v>
      </c>
      <c r="C352" s="202" t="s">
        <v>1042</v>
      </c>
      <c r="D352" s="202" t="s">
        <v>230</v>
      </c>
      <c r="E352" s="202" t="s">
        <v>1043</v>
      </c>
      <c r="F352" s="202" t="s">
        <v>159</v>
      </c>
      <c r="G352" s="202"/>
      <c r="H352" s="202" t="s">
        <v>1044</v>
      </c>
      <c r="I352" s="202" t="s">
        <v>350</v>
      </c>
      <c r="J352" s="223" t="str">
        <f t="shared" si="14"/>
        <v>TantalumMineração Taboca S.A.</v>
      </c>
      <c r="K352" s="223" t="str">
        <f t="shared" si="15"/>
        <v>TantalumMineração Taboca S.A.</v>
      </c>
    </row>
    <row r="353" spans="1:11">
      <c r="A353" s="202" t="s">
        <v>131</v>
      </c>
      <c r="B353" s="202" t="s">
        <v>1046</v>
      </c>
      <c r="C353" s="202" t="s">
        <v>1042</v>
      </c>
      <c r="D353" s="202" t="s">
        <v>230</v>
      </c>
      <c r="E353" s="202" t="s">
        <v>1043</v>
      </c>
      <c r="F353" s="202" t="s">
        <v>159</v>
      </c>
      <c r="G353" s="202"/>
      <c r="H353" s="202" t="s">
        <v>1044</v>
      </c>
      <c r="I353" s="182" t="s">
        <v>350</v>
      </c>
      <c r="J353" s="223" t="str">
        <f t="shared" si="14"/>
        <v>TantalumMineracao Taboca SA</v>
      </c>
      <c r="K353" s="223" t="str">
        <f t="shared" si="15"/>
        <v>TantalumMineracao Taboca SA</v>
      </c>
    </row>
    <row r="354" spans="1:11">
      <c r="A354" s="202" t="s">
        <v>131</v>
      </c>
      <c r="B354" s="202" t="s">
        <v>1047</v>
      </c>
      <c r="C354" s="202" t="s">
        <v>673</v>
      </c>
      <c r="D354" s="202" t="s">
        <v>193</v>
      </c>
      <c r="E354" s="202" t="s">
        <v>1048</v>
      </c>
      <c r="F354" s="202" t="s">
        <v>159</v>
      </c>
      <c r="G354" s="202"/>
      <c r="H354" s="202" t="s">
        <v>1049</v>
      </c>
      <c r="I354" s="182" t="s">
        <v>1050</v>
      </c>
      <c r="J354" s="223" t="str">
        <f t="shared" si="14"/>
        <v>TantalumMitsui Mining &amp; Smelting</v>
      </c>
      <c r="K354" s="223" t="str">
        <f t="shared" si="15"/>
        <v>TantalumMitsui Mining &amp; Smelting</v>
      </c>
    </row>
    <row r="355" spans="1:11">
      <c r="A355" s="202" t="s">
        <v>131</v>
      </c>
      <c r="B355" s="202" t="s">
        <v>673</v>
      </c>
      <c r="C355" s="202" t="s">
        <v>673</v>
      </c>
      <c r="D355" s="202" t="s">
        <v>193</v>
      </c>
      <c r="E355" s="202" t="s">
        <v>1048</v>
      </c>
      <c r="F355" s="202" t="s">
        <v>159</v>
      </c>
      <c r="G355" s="202"/>
      <c r="H355" s="202" t="s">
        <v>1049</v>
      </c>
      <c r="I355" s="182" t="s">
        <v>1050</v>
      </c>
      <c r="J355" s="223" t="str">
        <f t="shared" si="14"/>
        <v>TantalumMitsui Mining and Smelting Co., Ltd.</v>
      </c>
      <c r="K355" s="223" t="str">
        <f t="shared" si="15"/>
        <v>TantalumMitsui Mining and Smelting Co., Ltd.</v>
      </c>
    </row>
    <row r="356" spans="1:11">
      <c r="A356" s="202" t="s">
        <v>131</v>
      </c>
      <c r="B356" s="202" t="s">
        <v>1051</v>
      </c>
      <c r="C356" s="202" t="s">
        <v>1052</v>
      </c>
      <c r="D356" s="202" t="s">
        <v>961</v>
      </c>
      <c r="E356" s="202" t="s">
        <v>1053</v>
      </c>
      <c r="F356" s="202" t="s">
        <v>159</v>
      </c>
      <c r="G356" s="202"/>
      <c r="H356" s="202" t="s">
        <v>1054</v>
      </c>
      <c r="I356" s="182" t="s">
        <v>1055</v>
      </c>
      <c r="J356" s="223" t="str">
        <f t="shared" si="14"/>
        <v>TantalumMolycorp Silmet A.S.</v>
      </c>
      <c r="K356" s="223" t="str">
        <f t="shared" si="15"/>
        <v>TantalumMolycorp Silmet A.S.</v>
      </c>
    </row>
    <row r="357" spans="1:11">
      <c r="A357" s="202" t="s">
        <v>131</v>
      </c>
      <c r="B357" s="202" t="s">
        <v>1056</v>
      </c>
      <c r="C357" s="202" t="s">
        <v>1057</v>
      </c>
      <c r="D357" s="202" t="s">
        <v>237</v>
      </c>
      <c r="E357" s="202" t="s">
        <v>1058</v>
      </c>
      <c r="F357" s="202" t="s">
        <v>159</v>
      </c>
      <c r="G357" s="202"/>
      <c r="H357" s="202" t="s">
        <v>1059</v>
      </c>
      <c r="I357" s="202" t="s">
        <v>1060</v>
      </c>
      <c r="J357" s="223" t="str">
        <f t="shared" si="14"/>
        <v>TantalumNingxia Non-Ferrous Metal Smeltery</v>
      </c>
      <c r="K357" s="223" t="str">
        <f t="shared" si="15"/>
        <v>TantalumNingxia Non-Ferrous Metal Smeltery</v>
      </c>
    </row>
    <row r="358" spans="1:11">
      <c r="A358" s="202" t="s">
        <v>131</v>
      </c>
      <c r="B358" s="202" t="s">
        <v>1057</v>
      </c>
      <c r="C358" s="202" t="s">
        <v>1057</v>
      </c>
      <c r="D358" s="202" t="s">
        <v>237</v>
      </c>
      <c r="E358" s="202" t="s">
        <v>1058</v>
      </c>
      <c r="F358" s="202" t="s">
        <v>159</v>
      </c>
      <c r="G358" s="202"/>
      <c r="H358" s="202" t="s">
        <v>1059</v>
      </c>
      <c r="I358" s="202" t="s">
        <v>1060</v>
      </c>
      <c r="J358" s="223" t="str">
        <f t="shared" si="14"/>
        <v>TantalumNingxia Orient Tantalum Industry Co., Ltd.</v>
      </c>
      <c r="K358" s="223" t="str">
        <f t="shared" si="15"/>
        <v>TantalumNingxia Orient Tantalum Industry Co., Ltd.</v>
      </c>
    </row>
    <row r="359" spans="1:11">
      <c r="A359" s="202" t="s">
        <v>131</v>
      </c>
      <c r="B359" s="202" t="s">
        <v>1052</v>
      </c>
      <c r="C359" s="202" t="s">
        <v>1052</v>
      </c>
      <c r="D359" s="202" t="s">
        <v>961</v>
      </c>
      <c r="E359" s="202" t="s">
        <v>1053</v>
      </c>
      <c r="F359" s="202" t="s">
        <v>159</v>
      </c>
      <c r="G359" s="202"/>
      <c r="H359" s="202" t="s">
        <v>1054</v>
      </c>
      <c r="I359" s="202" t="s">
        <v>1055</v>
      </c>
      <c r="J359" s="223" t="str">
        <f t="shared" si="14"/>
        <v>TantalumNPM Silmet AS</v>
      </c>
      <c r="K359" s="223" t="str">
        <f t="shared" si="15"/>
        <v>TantalumNPM Silmet AS</v>
      </c>
    </row>
    <row r="360" spans="1:11">
      <c r="A360" s="202" t="s">
        <v>131</v>
      </c>
      <c r="B360" s="202" t="s">
        <v>1061</v>
      </c>
      <c r="C360" s="202" t="s">
        <v>1061</v>
      </c>
      <c r="D360" s="202" t="s">
        <v>1062</v>
      </c>
      <c r="E360" s="202" t="s">
        <v>1063</v>
      </c>
      <c r="F360" s="202" t="s">
        <v>159</v>
      </c>
      <c r="G360" s="202"/>
      <c r="H360" s="202" t="s">
        <v>1064</v>
      </c>
      <c r="I360" s="202" t="s">
        <v>1065</v>
      </c>
      <c r="J360" s="223" t="str">
        <f t="shared" si="14"/>
        <v>TantalumPowerX Ltd.</v>
      </c>
      <c r="K360" s="223" t="str">
        <f t="shared" si="15"/>
        <v>TantalumPowerX Ltd.</v>
      </c>
    </row>
    <row r="361" spans="1:11">
      <c r="A361" s="202" t="s">
        <v>131</v>
      </c>
      <c r="B361" s="202" t="s">
        <v>1066</v>
      </c>
      <c r="C361" s="202" t="s">
        <v>1066</v>
      </c>
      <c r="D361" s="202" t="s">
        <v>168</v>
      </c>
      <c r="E361" s="202" t="s">
        <v>1067</v>
      </c>
      <c r="F361" s="202" t="s">
        <v>159</v>
      </c>
      <c r="G361" s="202"/>
      <c r="H361" s="202" t="s">
        <v>1068</v>
      </c>
      <c r="I361" s="202" t="s">
        <v>1069</v>
      </c>
      <c r="J361" s="223" t="str">
        <f t="shared" si="14"/>
        <v>TantalumQuantumClean</v>
      </c>
      <c r="K361" s="223" t="str">
        <f t="shared" si="15"/>
        <v>TantalumQuantumClean</v>
      </c>
    </row>
    <row r="362" spans="1:11">
      <c r="A362" s="202" t="s">
        <v>131</v>
      </c>
      <c r="B362" s="202" t="s">
        <v>1070</v>
      </c>
      <c r="C362" s="202" t="s">
        <v>1071</v>
      </c>
      <c r="D362" s="202" t="s">
        <v>230</v>
      </c>
      <c r="E362" s="202" t="s">
        <v>1072</v>
      </c>
      <c r="F362" s="202" t="s">
        <v>159</v>
      </c>
      <c r="G362" s="202"/>
      <c r="H362" s="202" t="s">
        <v>967</v>
      </c>
      <c r="I362" s="202" t="s">
        <v>1073</v>
      </c>
      <c r="J362" s="223" t="str">
        <f t="shared" si="14"/>
        <v>TantalumResind Ind e Com Ltda.</v>
      </c>
      <c r="K362" s="223" t="str">
        <f t="shared" si="15"/>
        <v>TantalumResind Ind e Com Ltda.</v>
      </c>
    </row>
    <row r="363" spans="1:11">
      <c r="A363" s="202" t="s">
        <v>131</v>
      </c>
      <c r="B363" s="202" t="s">
        <v>1071</v>
      </c>
      <c r="C363" s="202" t="s">
        <v>1071</v>
      </c>
      <c r="D363" s="202" t="s">
        <v>230</v>
      </c>
      <c r="E363" s="202" t="s">
        <v>1072</v>
      </c>
      <c r="F363" s="202" t="s">
        <v>159</v>
      </c>
      <c r="G363" s="202"/>
      <c r="H363" s="202" t="s">
        <v>967</v>
      </c>
      <c r="I363" s="202" t="s">
        <v>1073</v>
      </c>
      <c r="J363" s="223" t="str">
        <f t="shared" si="14"/>
        <v>TantalumResind Industria e Comercio Ltda.</v>
      </c>
      <c r="K363" s="223" t="str">
        <f t="shared" si="15"/>
        <v>TantalumResind Industria e Comercio Ltda.</v>
      </c>
    </row>
    <row r="364" spans="1:11">
      <c r="A364" s="202" t="s">
        <v>131</v>
      </c>
      <c r="B364" s="202" t="s">
        <v>1074</v>
      </c>
      <c r="C364" s="202" t="s">
        <v>1071</v>
      </c>
      <c r="D364" s="202" t="s">
        <v>230</v>
      </c>
      <c r="E364" s="202" t="s">
        <v>1072</v>
      </c>
      <c r="F364" s="202" t="s">
        <v>159</v>
      </c>
      <c r="G364" s="202"/>
      <c r="H364" s="202" t="s">
        <v>967</v>
      </c>
      <c r="I364" s="202" t="s">
        <v>1073</v>
      </c>
      <c r="J364" s="223" t="str">
        <f t="shared" si="14"/>
        <v>TantalumResind Indústria e Comércio Ltda.</v>
      </c>
      <c r="K364" s="223" t="str">
        <f t="shared" si="15"/>
        <v>TantalumResind Indústria e Comércio Ltda.</v>
      </c>
    </row>
    <row r="365" spans="1:11">
      <c r="A365" s="202" t="s">
        <v>131</v>
      </c>
      <c r="B365" s="202" t="s">
        <v>1075</v>
      </c>
      <c r="C365" s="202" t="s">
        <v>1076</v>
      </c>
      <c r="D365" s="202" t="s">
        <v>237</v>
      </c>
      <c r="E365" s="202" t="s">
        <v>1077</v>
      </c>
      <c r="F365" s="202" t="s">
        <v>159</v>
      </c>
      <c r="G365" s="202"/>
      <c r="H365" s="202" t="s">
        <v>981</v>
      </c>
      <c r="I365" s="202" t="s">
        <v>486</v>
      </c>
      <c r="J365" s="223" t="str">
        <f t="shared" si="14"/>
        <v>TantalumRFH</v>
      </c>
      <c r="K365" s="223" t="str">
        <f t="shared" si="15"/>
        <v>TantalumRFH</v>
      </c>
    </row>
    <row r="366" spans="1:11">
      <c r="A366" s="202" t="s">
        <v>131</v>
      </c>
      <c r="B366" s="202" t="s">
        <v>1078</v>
      </c>
      <c r="C366" s="202" t="s">
        <v>1076</v>
      </c>
      <c r="D366" s="202" t="s">
        <v>237</v>
      </c>
      <c r="E366" s="202" t="s">
        <v>1077</v>
      </c>
      <c r="F366" s="202" t="s">
        <v>159</v>
      </c>
      <c r="G366" s="202"/>
      <c r="H366" s="202" t="s">
        <v>981</v>
      </c>
      <c r="I366" s="202" t="s">
        <v>486</v>
      </c>
      <c r="J366" s="223" t="str">
        <f t="shared" si="14"/>
        <v>TantalumRFH Tantalum Smeltry Co., Ltd.</v>
      </c>
      <c r="K366" s="223" t="str">
        <f t="shared" si="15"/>
        <v>TantalumRFH Tantalum Smeltry Co., Ltd.</v>
      </c>
    </row>
    <row r="367" spans="1:11">
      <c r="A367" s="202" t="s">
        <v>131</v>
      </c>
      <c r="B367" s="202" t="s">
        <v>1079</v>
      </c>
      <c r="C367" s="202" t="s">
        <v>1079</v>
      </c>
      <c r="D367" s="202" t="s">
        <v>237</v>
      </c>
      <c r="E367" s="202" t="s">
        <v>1080</v>
      </c>
      <c r="F367" s="202" t="s">
        <v>159</v>
      </c>
      <c r="G367" s="202"/>
      <c r="H367" s="202" t="s">
        <v>1081</v>
      </c>
      <c r="I367" s="202" t="s">
        <v>371</v>
      </c>
      <c r="J367" s="223" t="str">
        <f t="shared" si="14"/>
        <v>TantalumRFH Yancheng Jinye New Material Technology Co., Ltd.</v>
      </c>
      <c r="K367" s="223" t="str">
        <f t="shared" si="15"/>
        <v>TantalumRFH Yancheng Jinye New Material Technology Co., Ltd.</v>
      </c>
    </row>
    <row r="368" spans="1:11">
      <c r="A368" s="202" t="s">
        <v>131</v>
      </c>
      <c r="B368" s="202" t="s">
        <v>1082</v>
      </c>
      <c r="C368" s="202" t="s">
        <v>1083</v>
      </c>
      <c r="D368" s="202" t="s">
        <v>388</v>
      </c>
      <c r="E368" s="202" t="s">
        <v>1084</v>
      </c>
      <c r="F368" s="202" t="s">
        <v>159</v>
      </c>
      <c r="G368" s="202"/>
      <c r="H368" s="202" t="s">
        <v>1082</v>
      </c>
      <c r="I368" s="202" t="s">
        <v>1085</v>
      </c>
      <c r="J368" s="223" t="str">
        <f t="shared" si="14"/>
        <v>TantalumSolikamsk</v>
      </c>
      <c r="K368" s="223" t="str">
        <f t="shared" si="15"/>
        <v>TantalumSolikamsk</v>
      </c>
    </row>
    <row r="369" spans="1:11">
      <c r="A369" s="202" t="s">
        <v>131</v>
      </c>
      <c r="B369" s="202" t="s">
        <v>1083</v>
      </c>
      <c r="C369" s="202" t="s">
        <v>1083</v>
      </c>
      <c r="D369" s="202" t="s">
        <v>388</v>
      </c>
      <c r="E369" s="202" t="s">
        <v>1084</v>
      </c>
      <c r="F369" s="202" t="s">
        <v>159</v>
      </c>
      <c r="G369" s="202"/>
      <c r="H369" s="202" t="s">
        <v>1082</v>
      </c>
      <c r="I369" s="202" t="s">
        <v>1085</v>
      </c>
      <c r="J369" s="223" t="str">
        <f t="shared" si="14"/>
        <v>TantalumSolikamsk Magnesium Works OAO</v>
      </c>
      <c r="K369" s="223" t="str">
        <f t="shared" si="15"/>
        <v>TantalumSolikamsk Magnesium Works OAO</v>
      </c>
    </row>
    <row r="370" spans="1:11">
      <c r="A370" s="202" t="s">
        <v>131</v>
      </c>
      <c r="B370" s="202" t="s">
        <v>1086</v>
      </c>
      <c r="C370" s="202" t="s">
        <v>1083</v>
      </c>
      <c r="D370" s="202" t="s">
        <v>388</v>
      </c>
      <c r="E370" s="202" t="s">
        <v>1084</v>
      </c>
      <c r="F370" s="202" t="s">
        <v>159</v>
      </c>
      <c r="G370" s="202"/>
      <c r="H370" s="202" t="s">
        <v>1082</v>
      </c>
      <c r="I370" s="202" t="s">
        <v>1085</v>
      </c>
      <c r="J370" s="223" t="str">
        <f t="shared" si="14"/>
        <v>TantalumSolikamsk Metal Works</v>
      </c>
      <c r="K370" s="223" t="str">
        <f t="shared" si="15"/>
        <v>TantalumSolikamsk Metal Works</v>
      </c>
    </row>
    <row r="371" spans="1:11">
      <c r="A371" s="202" t="s">
        <v>131</v>
      </c>
      <c r="B371" s="202" t="s">
        <v>1087</v>
      </c>
      <c r="C371" s="202" t="s">
        <v>1087</v>
      </c>
      <c r="D371" s="202" t="s">
        <v>193</v>
      </c>
      <c r="E371" s="202" t="s">
        <v>1088</v>
      </c>
      <c r="F371" s="202" t="s">
        <v>159</v>
      </c>
      <c r="G371" s="202"/>
      <c r="H371" s="202" t="s">
        <v>1089</v>
      </c>
      <c r="I371" s="202" t="s">
        <v>227</v>
      </c>
      <c r="J371" s="223" t="str">
        <f t="shared" si="14"/>
        <v>TantalumTaki Chemical Co., Ltd.</v>
      </c>
      <c r="K371" s="223" t="str">
        <f t="shared" si="15"/>
        <v>TantalumTaki Chemical Co., Ltd.</v>
      </c>
    </row>
    <row r="372" spans="1:11">
      <c r="A372" s="202" t="s">
        <v>131</v>
      </c>
      <c r="B372" s="202" t="s">
        <v>1090</v>
      </c>
      <c r="C372" s="202" t="s">
        <v>1087</v>
      </c>
      <c r="D372" s="202" t="s">
        <v>193</v>
      </c>
      <c r="E372" s="202" t="s">
        <v>1088</v>
      </c>
      <c r="F372" s="202" t="s">
        <v>159</v>
      </c>
      <c r="G372" s="202"/>
      <c r="H372" s="202" t="s">
        <v>1089</v>
      </c>
      <c r="I372" s="202" t="s">
        <v>227</v>
      </c>
      <c r="J372" s="223" t="str">
        <f t="shared" si="14"/>
        <v>TantalumTaki Chemicals</v>
      </c>
      <c r="K372" s="223" t="str">
        <f t="shared" si="15"/>
        <v>TantalumTaki Chemicals</v>
      </c>
    </row>
    <row r="373" spans="1:11">
      <c r="A373" s="202" t="s">
        <v>131</v>
      </c>
      <c r="B373" s="202" t="s">
        <v>993</v>
      </c>
      <c r="C373" s="202" t="s">
        <v>993</v>
      </c>
      <c r="D373" s="202" t="s">
        <v>920</v>
      </c>
      <c r="E373" s="202" t="s">
        <v>994</v>
      </c>
      <c r="F373" s="202" t="s">
        <v>159</v>
      </c>
      <c r="G373" s="202"/>
      <c r="H373" s="202" t="s">
        <v>995</v>
      </c>
      <c r="I373" s="202" t="s">
        <v>996</v>
      </c>
      <c r="J373" s="223" t="str">
        <f t="shared" si="14"/>
        <v>TantalumTANIOBIS Co., Ltd.</v>
      </c>
      <c r="K373" s="223" t="str">
        <f t="shared" si="15"/>
        <v>TantalumTANIOBIS Co., Ltd.</v>
      </c>
    </row>
    <row r="374" spans="1:11">
      <c r="A374" s="202" t="s">
        <v>131</v>
      </c>
      <c r="B374" s="202" t="s">
        <v>1011</v>
      </c>
      <c r="C374" s="202" t="s">
        <v>1011</v>
      </c>
      <c r="D374" s="202" t="s">
        <v>182</v>
      </c>
      <c r="E374" s="202" t="s">
        <v>1012</v>
      </c>
      <c r="F374" s="202" t="s">
        <v>159</v>
      </c>
      <c r="G374" s="202"/>
      <c r="H374" s="202" t="s">
        <v>1013</v>
      </c>
      <c r="I374" s="202" t="s">
        <v>1014</v>
      </c>
      <c r="J374" s="223" t="str">
        <f t="shared" si="14"/>
        <v>TantalumTANIOBIS GmbH</v>
      </c>
      <c r="K374" s="223" t="str">
        <f t="shared" si="15"/>
        <v>TantalumTANIOBIS GmbH</v>
      </c>
    </row>
    <row r="375" spans="1:11">
      <c r="A375" s="202" t="s">
        <v>131</v>
      </c>
      <c r="B375" s="202" t="s">
        <v>1002</v>
      </c>
      <c r="C375" s="202" t="s">
        <v>1002</v>
      </c>
      <c r="D375" s="202" t="s">
        <v>193</v>
      </c>
      <c r="E375" s="202" t="s">
        <v>1003</v>
      </c>
      <c r="F375" s="202" t="s">
        <v>159</v>
      </c>
      <c r="G375" s="202"/>
      <c r="H375" s="202" t="s">
        <v>1004</v>
      </c>
      <c r="I375" s="202" t="s">
        <v>1005</v>
      </c>
      <c r="J375" s="223" t="str">
        <f t="shared" si="14"/>
        <v>TantalumTANIOBIS Japan Co., Ltd.</v>
      </c>
      <c r="K375" s="223" t="str">
        <f t="shared" si="15"/>
        <v>TantalumTANIOBIS Japan Co., Ltd.</v>
      </c>
    </row>
    <row r="376" spans="1:11">
      <c r="A376" s="202" t="s">
        <v>131</v>
      </c>
      <c r="B376" s="202" t="s">
        <v>1007</v>
      </c>
      <c r="C376" s="202" t="s">
        <v>1007</v>
      </c>
      <c r="D376" s="202" t="s">
        <v>182</v>
      </c>
      <c r="E376" s="202" t="s">
        <v>1008</v>
      </c>
      <c r="F376" s="202" t="s">
        <v>159</v>
      </c>
      <c r="G376" s="202"/>
      <c r="H376" s="202" t="s">
        <v>1009</v>
      </c>
      <c r="I376" s="202" t="s">
        <v>185</v>
      </c>
      <c r="J376" s="223" t="str">
        <f t="shared" si="14"/>
        <v>TantalumTANIOBIS Smelting GmbH &amp; Co. KG</v>
      </c>
      <c r="K376" s="223" t="str">
        <f t="shared" si="15"/>
        <v>TantalumTANIOBIS Smelting GmbH &amp; Co. KG</v>
      </c>
    </row>
    <row r="377" spans="1:11">
      <c r="A377" s="202" t="s">
        <v>131</v>
      </c>
      <c r="B377" s="202" t="s">
        <v>1091</v>
      </c>
      <c r="C377" s="202" t="s">
        <v>1091</v>
      </c>
      <c r="D377" s="202" t="s">
        <v>168</v>
      </c>
      <c r="E377" s="202" t="s">
        <v>1092</v>
      </c>
      <c r="F377" s="202" t="s">
        <v>159</v>
      </c>
      <c r="G377" s="202"/>
      <c r="H377" s="202" t="s">
        <v>1093</v>
      </c>
      <c r="I377" s="202" t="s">
        <v>171</v>
      </c>
      <c r="J377" s="223" t="str">
        <f t="shared" si="14"/>
        <v>TantalumTelex Metals</v>
      </c>
      <c r="K377" s="223" t="str">
        <f t="shared" si="15"/>
        <v>TantalumTelex Metals</v>
      </c>
    </row>
    <row r="378" spans="1:11">
      <c r="A378" s="202" t="s">
        <v>131</v>
      </c>
      <c r="B378" s="202" t="s">
        <v>1094</v>
      </c>
      <c r="C378" s="202" t="s">
        <v>1095</v>
      </c>
      <c r="D378" s="202" t="s">
        <v>545</v>
      </c>
      <c r="E378" s="202" t="s">
        <v>1096</v>
      </c>
      <c r="F378" s="202" t="s">
        <v>159</v>
      </c>
      <c r="G378" s="202"/>
      <c r="H378" s="202" t="s">
        <v>551</v>
      </c>
      <c r="I378" s="202" t="s">
        <v>548</v>
      </c>
      <c r="J378" s="223" t="str">
        <f t="shared" si="14"/>
        <v>TantalumULBA</v>
      </c>
      <c r="K378" s="223" t="str">
        <f t="shared" si="15"/>
        <v>TantalumULBA</v>
      </c>
    </row>
    <row r="379" spans="1:11">
      <c r="A379" s="202" t="s">
        <v>131</v>
      </c>
      <c r="B379" s="202" t="s">
        <v>1095</v>
      </c>
      <c r="C379" s="202" t="s">
        <v>1095</v>
      </c>
      <c r="D379" s="202" t="s">
        <v>545</v>
      </c>
      <c r="E379" s="202" t="s">
        <v>1096</v>
      </c>
      <c r="F379" s="202" t="s">
        <v>159</v>
      </c>
      <c r="G379" s="202"/>
      <c r="H379" s="202" t="s">
        <v>551</v>
      </c>
      <c r="I379" s="202" t="s">
        <v>548</v>
      </c>
      <c r="J379" s="223" t="str">
        <f t="shared" si="14"/>
        <v>TantalumUlba Metallurgical Plant JSC</v>
      </c>
      <c r="K379" s="223" t="str">
        <f t="shared" si="15"/>
        <v>TantalumUlba Metallurgical Plant JSC</v>
      </c>
    </row>
    <row r="380" spans="1:11">
      <c r="A380" s="202" t="s">
        <v>131</v>
      </c>
      <c r="B380" s="202" t="s">
        <v>989</v>
      </c>
      <c r="C380" s="202" t="s">
        <v>989</v>
      </c>
      <c r="D380" s="202" t="s">
        <v>237</v>
      </c>
      <c r="E380" s="202" t="s">
        <v>990</v>
      </c>
      <c r="F380" s="202" t="s">
        <v>159</v>
      </c>
      <c r="G380" s="202"/>
      <c r="H380" s="202" t="s">
        <v>991</v>
      </c>
      <c r="I380" s="202" t="s">
        <v>454</v>
      </c>
      <c r="J380" s="223" t="str">
        <f t="shared" si="14"/>
        <v>TantalumXIMEI RESOURCES (GUANGDONG) LIMITED</v>
      </c>
      <c r="K380" s="223" t="str">
        <f t="shared" si="15"/>
        <v>TantalumXIMEI RESOURCES (GUANGDONG) LIMITED</v>
      </c>
    </row>
    <row r="381" spans="1:11">
      <c r="A381" s="202" t="s">
        <v>131</v>
      </c>
      <c r="B381" s="202" t="s">
        <v>1097</v>
      </c>
      <c r="C381" s="202" t="s">
        <v>1097</v>
      </c>
      <c r="D381" s="202" t="s">
        <v>237</v>
      </c>
      <c r="E381" s="202" t="s">
        <v>1098</v>
      </c>
      <c r="F381" s="202" t="s">
        <v>159</v>
      </c>
      <c r="G381" s="202"/>
      <c r="H381" s="202" t="s">
        <v>1099</v>
      </c>
      <c r="I381" s="202" t="s">
        <v>454</v>
      </c>
      <c r="J381" s="223" t="str">
        <f t="shared" si="14"/>
        <v>TantalumXinXing HaoRong Electronic Material Co., Ltd.</v>
      </c>
      <c r="K381" s="223" t="str">
        <f t="shared" si="15"/>
        <v>TantalumXinXing HaoRong Electronic Material Co., Ltd.</v>
      </c>
    </row>
    <row r="382" spans="1:11">
      <c r="A382" s="202" t="s">
        <v>131</v>
      </c>
      <c r="B382" s="202" t="s">
        <v>1100</v>
      </c>
      <c r="C382" s="202" t="s">
        <v>1079</v>
      </c>
      <c r="D382" s="202" t="s">
        <v>237</v>
      </c>
      <c r="E382" s="202" t="s">
        <v>1080</v>
      </c>
      <c r="F382" s="202" t="s">
        <v>159</v>
      </c>
      <c r="G382" s="202"/>
      <c r="H382" s="202" t="s">
        <v>1081</v>
      </c>
      <c r="I382" s="182" t="s">
        <v>371</v>
      </c>
      <c r="J382" s="223" t="str">
        <f t="shared" si="14"/>
        <v>TantalumYancheng Jinye New Material Technology Co., Ltd.</v>
      </c>
      <c r="K382" s="223" t="str">
        <f t="shared" si="15"/>
        <v>TantalumYancheng Jinye New Material Technology Co., Ltd.</v>
      </c>
    </row>
    <row r="383" spans="1:11">
      <c r="A383" s="202" t="s">
        <v>131</v>
      </c>
      <c r="B383" s="202" t="s">
        <v>1076</v>
      </c>
      <c r="C383" s="202" t="s">
        <v>1076</v>
      </c>
      <c r="D383" s="202" t="s">
        <v>237</v>
      </c>
      <c r="E383" s="202" t="s">
        <v>1077</v>
      </c>
      <c r="F383" s="202" t="s">
        <v>159</v>
      </c>
      <c r="G383" s="202"/>
      <c r="H383" s="202" t="s">
        <v>981</v>
      </c>
      <c r="I383" s="182" t="s">
        <v>486</v>
      </c>
      <c r="J383" s="223" t="str">
        <f t="shared" si="14"/>
        <v>TantalumYanling Jincheng Tantalum &amp; Niobium Co., Ltd.</v>
      </c>
      <c r="K383" s="223" t="str">
        <f t="shared" si="15"/>
        <v>TantalumYanling Jincheng Tantalum &amp; Niobium Co., Ltd.</v>
      </c>
    </row>
    <row r="384" spans="1:11">
      <c r="A384" s="202" t="s">
        <v>131</v>
      </c>
      <c r="B384" s="202" t="s">
        <v>1101</v>
      </c>
      <c r="C384" s="202" t="s">
        <v>1076</v>
      </c>
      <c r="D384" s="202" t="s">
        <v>237</v>
      </c>
      <c r="E384" s="202" t="s">
        <v>1077</v>
      </c>
      <c r="F384" s="202" t="s">
        <v>159</v>
      </c>
      <c r="G384" s="202"/>
      <c r="H384" s="202" t="s">
        <v>981</v>
      </c>
      <c r="I384" s="202" t="s">
        <v>486</v>
      </c>
      <c r="J384" s="223" t="str">
        <f t="shared" si="14"/>
        <v>TantalumYanling Jincheng Tantalum Co., Ltd.</v>
      </c>
      <c r="K384" s="223" t="str">
        <f t="shared" si="15"/>
        <v>TantalumYanling Jincheng Tantalum Co., Ltd.</v>
      </c>
    </row>
    <row r="385" spans="1:11">
      <c r="A385" s="202" t="s">
        <v>131</v>
      </c>
      <c r="B385" s="202" t="s">
        <v>1102</v>
      </c>
      <c r="C385" s="202" t="s">
        <v>1002</v>
      </c>
      <c r="D385" s="202" t="s">
        <v>193</v>
      </c>
      <c r="E385" s="202" t="s">
        <v>1003</v>
      </c>
      <c r="F385" s="202" t="s">
        <v>159</v>
      </c>
      <c r="G385" s="202"/>
      <c r="H385" s="202" t="s">
        <v>1004</v>
      </c>
      <c r="I385" s="202" t="s">
        <v>1005</v>
      </c>
      <c r="J385" s="223" t="str">
        <f t="shared" si="14"/>
        <v>Tantalumタニオビス・ジャパン株式会社</v>
      </c>
      <c r="K385" s="223" t="str">
        <f t="shared" si="15"/>
        <v>Tantalumタニオビス・ジャパン株式会社</v>
      </c>
    </row>
    <row r="386" spans="1:11">
      <c r="A386" s="202" t="s">
        <v>131</v>
      </c>
      <c r="B386" s="202" t="s">
        <v>959</v>
      </c>
      <c r="C386" s="202"/>
      <c r="D386" s="202"/>
      <c r="E386" s="202"/>
      <c r="F386" s="202"/>
      <c r="G386" s="202"/>
      <c r="H386" s="202"/>
      <c r="I386" s="202"/>
      <c r="J386" s="223" t="str">
        <f t="shared" si="14"/>
        <v>TantalumSmelter not listed</v>
      </c>
      <c r="K386" s="223" t="str">
        <f t="shared" si="15"/>
        <v>TantalumSmelter not listed</v>
      </c>
    </row>
    <row r="387" spans="1:11">
      <c r="A387" s="202" t="s">
        <v>131</v>
      </c>
      <c r="B387" s="202" t="s">
        <v>138</v>
      </c>
      <c r="C387" s="202" t="s">
        <v>119</v>
      </c>
      <c r="D387" s="202" t="s">
        <v>119</v>
      </c>
      <c r="E387" s="202"/>
      <c r="F387" s="202"/>
      <c r="G387" s="202"/>
      <c r="H387" s="202"/>
      <c r="I387" s="202"/>
      <c r="J387" s="223" t="str">
        <f t="shared" si="14"/>
        <v>TantalumSmelter not yet identified</v>
      </c>
      <c r="K387" s="223" t="str">
        <f t="shared" si="15"/>
        <v>TantalumSmelter not yet identified</v>
      </c>
    </row>
    <row r="388" spans="1:11">
      <c r="A388" s="202" t="s">
        <v>132</v>
      </c>
      <c r="B388" s="202" t="s">
        <v>1103</v>
      </c>
      <c r="C388" s="202" t="s">
        <v>1104</v>
      </c>
      <c r="D388" s="202" t="s">
        <v>168</v>
      </c>
      <c r="E388" s="202" t="s">
        <v>1105</v>
      </c>
      <c r="F388" s="202" t="s">
        <v>159</v>
      </c>
      <c r="G388" s="202"/>
      <c r="H388" s="202" t="s">
        <v>1106</v>
      </c>
      <c r="I388" s="202" t="s">
        <v>171</v>
      </c>
      <c r="J388" s="223" t="str">
        <f t="shared" si="14"/>
        <v>TinAlent plc</v>
      </c>
      <c r="K388" s="223" t="str">
        <f t="shared" si="15"/>
        <v>TinAlent plc</v>
      </c>
    </row>
    <row r="389" spans="1:11">
      <c r="A389" s="202" t="s">
        <v>132</v>
      </c>
      <c r="B389" s="202" t="s">
        <v>1104</v>
      </c>
      <c r="C389" s="202" t="s">
        <v>1104</v>
      </c>
      <c r="D389" s="202" t="s">
        <v>168</v>
      </c>
      <c r="E389" s="202" t="s">
        <v>1105</v>
      </c>
      <c r="F389" s="202" t="s">
        <v>159</v>
      </c>
      <c r="G389" s="202"/>
      <c r="H389" s="202" t="s">
        <v>1106</v>
      </c>
      <c r="I389" s="202" t="s">
        <v>171</v>
      </c>
      <c r="J389" s="223" t="str">
        <f t="shared" si="14"/>
        <v>TinAlpha</v>
      </c>
      <c r="K389" s="223" t="str">
        <f t="shared" si="15"/>
        <v>TinAlpha</v>
      </c>
    </row>
    <row r="390" spans="1:11">
      <c r="A390" s="202" t="s">
        <v>132</v>
      </c>
      <c r="B390" s="202" t="s">
        <v>1107</v>
      </c>
      <c r="C390" s="202" t="s">
        <v>1104</v>
      </c>
      <c r="D390" s="202" t="s">
        <v>168</v>
      </c>
      <c r="E390" s="202" t="s">
        <v>1105</v>
      </c>
      <c r="F390" s="202" t="s">
        <v>159</v>
      </c>
      <c r="G390" s="202"/>
      <c r="H390" s="202" t="s">
        <v>1106</v>
      </c>
      <c r="I390" s="202" t="s">
        <v>171</v>
      </c>
      <c r="J390" s="223" t="str">
        <f t="shared" ref="J390:J453" si="16">A390&amp;B390</f>
        <v>TinAlpha Metals</v>
      </c>
      <c r="K390" s="223" t="str">
        <f t="shared" ref="K390:K453" si="17">A390&amp;B390</f>
        <v>TinAlpha Metals</v>
      </c>
    </row>
    <row r="391" spans="1:11">
      <c r="A391" s="202" t="s">
        <v>132</v>
      </c>
      <c r="B391" s="202" t="s">
        <v>1108</v>
      </c>
      <c r="C391" s="202" t="s">
        <v>1104</v>
      </c>
      <c r="D391" s="202" t="s">
        <v>168</v>
      </c>
      <c r="E391" s="202" t="s">
        <v>1105</v>
      </c>
      <c r="F391" s="202" t="s">
        <v>159</v>
      </c>
      <c r="G391" s="202"/>
      <c r="H391" s="202" t="s">
        <v>1106</v>
      </c>
      <c r="I391" s="202" t="s">
        <v>171</v>
      </c>
      <c r="J391" s="223" t="str">
        <f t="shared" si="16"/>
        <v>TinAlpha Metals Korea Ltd.</v>
      </c>
      <c r="K391" s="223" t="str">
        <f t="shared" si="17"/>
        <v>TinAlpha Metals Korea Ltd.</v>
      </c>
    </row>
    <row r="392" spans="1:11">
      <c r="A392" s="202" t="s">
        <v>132</v>
      </c>
      <c r="B392" s="202" t="s">
        <v>1109</v>
      </c>
      <c r="C392" s="202" t="s">
        <v>1104</v>
      </c>
      <c r="D392" s="202" t="s">
        <v>168</v>
      </c>
      <c r="E392" s="202" t="s">
        <v>1105</v>
      </c>
      <c r="F392" s="202" t="s">
        <v>159</v>
      </c>
      <c r="G392" s="202"/>
      <c r="H392" s="202" t="s">
        <v>1106</v>
      </c>
      <c r="I392" s="202" t="s">
        <v>171</v>
      </c>
      <c r="J392" s="223" t="str">
        <f t="shared" si="16"/>
        <v>TinAlpha Metals Taiwan</v>
      </c>
      <c r="K392" s="223" t="str">
        <f t="shared" si="17"/>
        <v>TinAlpha Metals Taiwan</v>
      </c>
    </row>
    <row r="393" spans="1:11">
      <c r="A393" s="202" t="s">
        <v>132</v>
      </c>
      <c r="B393" s="202" t="s">
        <v>1110</v>
      </c>
      <c r="C393" s="202" t="s">
        <v>1110</v>
      </c>
      <c r="D393" s="202" t="s">
        <v>1111</v>
      </c>
      <c r="E393" s="202" t="s">
        <v>1112</v>
      </c>
      <c r="F393" s="202" t="s">
        <v>159</v>
      </c>
      <c r="G393" s="202"/>
      <c r="H393" s="202" t="s">
        <v>1113</v>
      </c>
      <c r="I393" s="202" t="s">
        <v>1114</v>
      </c>
      <c r="J393" s="223" t="str">
        <f t="shared" si="16"/>
        <v>TinAn Vinh Joint Stock Mineral Processing Company</v>
      </c>
      <c r="K393" s="223" t="str">
        <f t="shared" si="17"/>
        <v>TinAn Vinh Joint Stock Mineral Processing Company</v>
      </c>
    </row>
    <row r="394" spans="1:11">
      <c r="A394" s="202" t="s">
        <v>132</v>
      </c>
      <c r="B394" s="202" t="s">
        <v>1115</v>
      </c>
      <c r="C394" s="202" t="s">
        <v>1115</v>
      </c>
      <c r="D394" s="202" t="s">
        <v>497</v>
      </c>
      <c r="E394" s="202" t="s">
        <v>1116</v>
      </c>
      <c r="F394" s="202" t="s">
        <v>159</v>
      </c>
      <c r="G394" s="202"/>
      <c r="H394" s="202" t="s">
        <v>1117</v>
      </c>
      <c r="I394" s="202" t="s">
        <v>500</v>
      </c>
      <c r="J394" s="223" t="str">
        <f t="shared" si="16"/>
        <v>TinAurubis Beerse</v>
      </c>
      <c r="K394" s="223" t="str">
        <f t="shared" si="17"/>
        <v>TinAurubis Beerse</v>
      </c>
    </row>
    <row r="395" spans="1:11">
      <c r="A395" s="202" t="s">
        <v>132</v>
      </c>
      <c r="B395" s="202" t="s">
        <v>1118</v>
      </c>
      <c r="C395" s="202" t="s">
        <v>1118</v>
      </c>
      <c r="D395" s="202" t="s">
        <v>818</v>
      </c>
      <c r="E395" s="202" t="s">
        <v>1119</v>
      </c>
      <c r="F395" s="202" t="s">
        <v>159</v>
      </c>
      <c r="G395" s="202"/>
      <c r="H395" s="202" t="s">
        <v>1120</v>
      </c>
      <c r="I395" s="202" t="s">
        <v>1121</v>
      </c>
      <c r="J395" s="223" t="str">
        <f t="shared" si="16"/>
        <v>TinAurubis Berango</v>
      </c>
      <c r="K395" s="223" t="str">
        <f t="shared" si="17"/>
        <v>TinAurubis Berango</v>
      </c>
    </row>
    <row r="396" spans="1:11">
      <c r="A396" s="202" t="s">
        <v>132</v>
      </c>
      <c r="B396" s="202" t="s">
        <v>1122</v>
      </c>
      <c r="C396" s="202" t="s">
        <v>1123</v>
      </c>
      <c r="D396" s="202" t="s">
        <v>748</v>
      </c>
      <c r="E396" s="202" t="s">
        <v>1124</v>
      </c>
      <c r="F396" s="202" t="s">
        <v>159</v>
      </c>
      <c r="G396" s="202"/>
      <c r="H396" s="202" t="s">
        <v>1125</v>
      </c>
      <c r="I396" s="202" t="s">
        <v>1126</v>
      </c>
      <c r="J396" s="223" t="str">
        <f t="shared" si="16"/>
        <v>TinBrand IMLI</v>
      </c>
      <c r="K396" s="223" t="str">
        <f t="shared" si="17"/>
        <v>TinBrand IMLI</v>
      </c>
    </row>
    <row r="397" spans="1:11">
      <c r="A397" s="202" t="s">
        <v>132</v>
      </c>
      <c r="B397" s="202" t="s">
        <v>1127</v>
      </c>
      <c r="C397" s="202" t="s">
        <v>1128</v>
      </c>
      <c r="D397" s="202" t="s">
        <v>748</v>
      </c>
      <c r="E397" s="202" t="s">
        <v>1129</v>
      </c>
      <c r="F397" s="202" t="s">
        <v>159</v>
      </c>
      <c r="G397" s="202"/>
      <c r="H397" s="202" t="s">
        <v>1130</v>
      </c>
      <c r="I397" s="202" t="s">
        <v>1126</v>
      </c>
      <c r="J397" s="223" t="str">
        <f t="shared" si="16"/>
        <v>TinBrand RBT</v>
      </c>
      <c r="K397" s="223" t="str">
        <f t="shared" si="17"/>
        <v>TinBrand RBT</v>
      </c>
    </row>
    <row r="398" spans="1:11">
      <c r="A398" s="202" t="s">
        <v>132</v>
      </c>
      <c r="B398" s="202" t="s">
        <v>1131</v>
      </c>
      <c r="C398" s="202" t="s">
        <v>1132</v>
      </c>
      <c r="D398" s="202" t="s">
        <v>237</v>
      </c>
      <c r="E398" s="202" t="s">
        <v>1133</v>
      </c>
      <c r="F398" s="202" t="s">
        <v>159</v>
      </c>
      <c r="G398" s="202"/>
      <c r="H398" s="202" t="s">
        <v>1134</v>
      </c>
      <c r="I398" s="202" t="s">
        <v>328</v>
      </c>
      <c r="J398" s="223" t="str">
        <f t="shared" si="16"/>
        <v>TinChengfeng Metals Co Pte Ltd</v>
      </c>
      <c r="K398" s="223" t="str">
        <f t="shared" si="17"/>
        <v>TinChengfeng Metals Co Pte Ltd</v>
      </c>
    </row>
    <row r="399" spans="1:11">
      <c r="A399" s="202" t="s">
        <v>132</v>
      </c>
      <c r="B399" s="202" t="s">
        <v>1135</v>
      </c>
      <c r="C399" s="202" t="s">
        <v>1136</v>
      </c>
      <c r="D399" s="202" t="s">
        <v>237</v>
      </c>
      <c r="E399" s="202" t="s">
        <v>1137</v>
      </c>
      <c r="F399" s="202" t="s">
        <v>159</v>
      </c>
      <c r="G399" s="202"/>
      <c r="H399" s="202" t="s">
        <v>491</v>
      </c>
      <c r="I399" s="202" t="s">
        <v>486</v>
      </c>
      <c r="J399" s="223" t="str">
        <f t="shared" si="16"/>
        <v>TinChenzhou Yun Xiang mining limited liability company</v>
      </c>
      <c r="K399" s="223" t="str">
        <f t="shared" si="17"/>
        <v>TinChenzhou Yun Xiang mining limited liability company</v>
      </c>
    </row>
    <row r="400" spans="1:11">
      <c r="A400" s="202" t="s">
        <v>132</v>
      </c>
      <c r="B400" s="202" t="s">
        <v>1136</v>
      </c>
      <c r="C400" s="202" t="s">
        <v>1136</v>
      </c>
      <c r="D400" s="202" t="s">
        <v>237</v>
      </c>
      <c r="E400" s="202" t="s">
        <v>1137</v>
      </c>
      <c r="F400" s="202" t="s">
        <v>159</v>
      </c>
      <c r="G400" s="202"/>
      <c r="H400" s="202" t="s">
        <v>491</v>
      </c>
      <c r="I400" s="202" t="s">
        <v>486</v>
      </c>
      <c r="J400" s="223" t="str">
        <f t="shared" si="16"/>
        <v>TinChenzhou Yunxiang Mining and Metallurgy Co., Ltd.</v>
      </c>
      <c r="K400" s="223" t="str">
        <f t="shared" si="17"/>
        <v>TinChenzhou Yunxiang Mining and Metallurgy Co., Ltd.</v>
      </c>
    </row>
    <row r="401" spans="1:11">
      <c r="A401" s="202" t="s">
        <v>132</v>
      </c>
      <c r="B401" s="202" t="s">
        <v>1138</v>
      </c>
      <c r="C401" s="202" t="s">
        <v>1138</v>
      </c>
      <c r="D401" s="202" t="s">
        <v>237</v>
      </c>
      <c r="E401" s="202" t="s">
        <v>1139</v>
      </c>
      <c r="F401" s="202" t="s">
        <v>159</v>
      </c>
      <c r="G401" s="202"/>
      <c r="H401" s="202" t="s">
        <v>1140</v>
      </c>
      <c r="I401" s="202" t="s">
        <v>504</v>
      </c>
      <c r="J401" s="223" t="str">
        <f t="shared" si="16"/>
        <v>TinChifeng Dajingzi Tin Industry Co., Ltd.</v>
      </c>
      <c r="K401" s="223" t="str">
        <f t="shared" si="17"/>
        <v>TinChifeng Dajingzi Tin Industry Co., Ltd.</v>
      </c>
    </row>
    <row r="402" spans="1:11">
      <c r="A402" s="202" t="s">
        <v>132</v>
      </c>
      <c r="B402" s="202" t="s">
        <v>1141</v>
      </c>
      <c r="C402" s="202" t="s">
        <v>1142</v>
      </c>
      <c r="D402" s="202" t="s">
        <v>237</v>
      </c>
      <c r="E402" s="202" t="s">
        <v>1143</v>
      </c>
      <c r="F402" s="202" t="s">
        <v>159</v>
      </c>
      <c r="G402" s="202"/>
      <c r="H402" s="202" t="s">
        <v>1144</v>
      </c>
      <c r="I402" s="202" t="s">
        <v>1145</v>
      </c>
      <c r="J402" s="223" t="str">
        <f t="shared" si="16"/>
        <v>TinChina Tin (Hechi)</v>
      </c>
      <c r="K402" s="223" t="str">
        <f t="shared" si="17"/>
        <v>TinChina Tin (Hechi)</v>
      </c>
    </row>
    <row r="403" spans="1:11">
      <c r="A403" s="202" t="s">
        <v>132</v>
      </c>
      <c r="B403" s="202" t="s">
        <v>1142</v>
      </c>
      <c r="C403" s="202" t="s">
        <v>1142</v>
      </c>
      <c r="D403" s="202" t="s">
        <v>237</v>
      </c>
      <c r="E403" s="202" t="s">
        <v>1143</v>
      </c>
      <c r="F403" s="202" t="s">
        <v>159</v>
      </c>
      <c r="G403" s="202"/>
      <c r="H403" s="202" t="s">
        <v>1144</v>
      </c>
      <c r="I403" s="202" t="s">
        <v>1145</v>
      </c>
      <c r="J403" s="223" t="str">
        <f t="shared" si="16"/>
        <v>TinChina Tin Group Co., Ltd.</v>
      </c>
      <c r="K403" s="223" t="str">
        <f t="shared" si="17"/>
        <v>TinChina Tin Group Co., Ltd.</v>
      </c>
    </row>
    <row r="404" spans="1:11">
      <c r="A404" s="202" t="s">
        <v>132</v>
      </c>
      <c r="B404" s="202" t="s">
        <v>1146</v>
      </c>
      <c r="C404" s="202" t="s">
        <v>1142</v>
      </c>
      <c r="D404" s="202" t="s">
        <v>237</v>
      </c>
      <c r="E404" s="202" t="s">
        <v>1143</v>
      </c>
      <c r="F404" s="202" t="s">
        <v>159</v>
      </c>
      <c r="G404" s="202"/>
      <c r="H404" s="202" t="s">
        <v>1144</v>
      </c>
      <c r="I404" s="202" t="s">
        <v>1145</v>
      </c>
      <c r="J404" s="223" t="str">
        <f t="shared" si="16"/>
        <v>TinChina Tin Lai Ben Smelter Co., Ltd.</v>
      </c>
      <c r="K404" s="223" t="str">
        <f t="shared" si="17"/>
        <v>TinChina Tin Lai Ben Smelter Co., Ltd.</v>
      </c>
    </row>
    <row r="405" spans="1:11">
      <c r="A405" s="202" t="s">
        <v>132</v>
      </c>
      <c r="B405" s="202" t="s">
        <v>1147</v>
      </c>
      <c r="C405" s="202" t="s">
        <v>1148</v>
      </c>
      <c r="D405" s="202" t="s">
        <v>237</v>
      </c>
      <c r="E405" s="202" t="s">
        <v>1149</v>
      </c>
      <c r="F405" s="202" t="s">
        <v>159</v>
      </c>
      <c r="G405" s="202"/>
      <c r="H405" s="202" t="s">
        <v>1134</v>
      </c>
      <c r="I405" s="202" t="s">
        <v>328</v>
      </c>
      <c r="J405" s="223" t="str">
        <f t="shared" si="16"/>
        <v>TinChina Yunnan Tin Co Ltd.</v>
      </c>
      <c r="K405" s="223" t="str">
        <f t="shared" si="17"/>
        <v>TinChina Yunnan Tin Co Ltd.</v>
      </c>
    </row>
    <row r="406" spans="1:11">
      <c r="A406" s="202" t="s">
        <v>132</v>
      </c>
      <c r="B406" s="202" t="s">
        <v>1150</v>
      </c>
      <c r="C406" s="202" t="s">
        <v>1104</v>
      </c>
      <c r="D406" s="202" t="s">
        <v>168</v>
      </c>
      <c r="E406" s="202" t="s">
        <v>1105</v>
      </c>
      <c r="F406" s="202" t="s">
        <v>159</v>
      </c>
      <c r="G406" s="202"/>
      <c r="H406" s="202" t="s">
        <v>1106</v>
      </c>
      <c r="I406" s="202" t="s">
        <v>171</v>
      </c>
      <c r="J406" s="223" t="str">
        <f t="shared" si="16"/>
        <v>TinCookson</v>
      </c>
      <c r="K406" s="223" t="str">
        <f t="shared" si="17"/>
        <v>TinCookson</v>
      </c>
    </row>
    <row r="407" spans="1:11">
      <c r="A407" s="202" t="s">
        <v>132</v>
      </c>
      <c r="B407" s="202" t="s">
        <v>1151</v>
      </c>
      <c r="C407" s="202" t="s">
        <v>1104</v>
      </c>
      <c r="D407" s="202" t="s">
        <v>168</v>
      </c>
      <c r="E407" s="202" t="s">
        <v>1105</v>
      </c>
      <c r="F407" s="202" t="s">
        <v>159</v>
      </c>
      <c r="G407" s="202"/>
      <c r="H407" s="202" t="s">
        <v>1106</v>
      </c>
      <c r="I407" s="202" t="s">
        <v>171</v>
      </c>
      <c r="J407" s="223" t="str">
        <f t="shared" si="16"/>
        <v>TinCookson (Alpha Metals Taiwan)</v>
      </c>
      <c r="K407" s="223" t="str">
        <f t="shared" si="17"/>
        <v>TinCookson (Alpha Metals Taiwan)</v>
      </c>
    </row>
    <row r="408" spans="1:11">
      <c r="A408" s="202" t="s">
        <v>132</v>
      </c>
      <c r="B408" s="202" t="s">
        <v>1152</v>
      </c>
      <c r="C408" s="202" t="s">
        <v>1104</v>
      </c>
      <c r="D408" s="202" t="s">
        <v>168</v>
      </c>
      <c r="E408" s="202" t="s">
        <v>1105</v>
      </c>
      <c r="F408" s="202" t="s">
        <v>159</v>
      </c>
      <c r="G408" s="202"/>
      <c r="H408" s="202" t="s">
        <v>1106</v>
      </c>
      <c r="I408" s="202" t="s">
        <v>171</v>
      </c>
      <c r="J408" s="223" t="str">
        <f t="shared" si="16"/>
        <v>TinCookson Alpha Metals (Shenzhen) Co., Ltd.</v>
      </c>
      <c r="K408" s="223" t="str">
        <f t="shared" si="17"/>
        <v>TinCookson Alpha Metals (Shenzhen) Co., Ltd.</v>
      </c>
    </row>
    <row r="409" spans="1:11">
      <c r="A409" s="202" t="s">
        <v>132</v>
      </c>
      <c r="B409" s="202" t="s">
        <v>1153</v>
      </c>
      <c r="C409" s="202" t="s">
        <v>1153</v>
      </c>
      <c r="D409" s="202" t="s">
        <v>230</v>
      </c>
      <c r="E409" s="202" t="s">
        <v>1154</v>
      </c>
      <c r="F409" s="202" t="s">
        <v>159</v>
      </c>
      <c r="G409" s="202"/>
      <c r="H409" s="202" t="s">
        <v>1155</v>
      </c>
      <c r="I409" s="202" t="s">
        <v>1156</v>
      </c>
      <c r="J409" s="223" t="str">
        <f t="shared" si="16"/>
        <v>TinCRM Fundicao De Metais E Comercio De Equipamentos Eletronicos Do Brasil Ltda</v>
      </c>
      <c r="K409" s="223" t="str">
        <f t="shared" si="17"/>
        <v>TinCRM Fundicao De Metais E Comercio De Equipamentos Eletronicos Do Brasil Ltda</v>
      </c>
    </row>
    <row r="410" spans="1:11">
      <c r="A410" s="202" t="s">
        <v>132</v>
      </c>
      <c r="B410" s="202" t="s">
        <v>1157</v>
      </c>
      <c r="C410" s="202" t="s">
        <v>1153</v>
      </c>
      <c r="D410" s="202" t="s">
        <v>230</v>
      </c>
      <c r="E410" s="202" t="s">
        <v>1154</v>
      </c>
      <c r="F410" s="202" t="s">
        <v>159</v>
      </c>
      <c r="G410" s="202"/>
      <c r="H410" s="202" t="s">
        <v>1155</v>
      </c>
      <c r="I410" s="202" t="s">
        <v>1156</v>
      </c>
      <c r="J410" s="223" t="str">
        <f t="shared" si="16"/>
        <v>TinCRM Fundição De Metais E Comércio De Equipamentos Eletrônicos Do Brasil Ltda</v>
      </c>
      <c r="K410" s="223" t="str">
        <f t="shared" si="17"/>
        <v>TinCRM Fundição De Metais E Comércio De Equipamentos Eletrônicos Do Brasil Ltda</v>
      </c>
    </row>
    <row r="411" spans="1:11">
      <c r="A411" s="202" t="s">
        <v>132</v>
      </c>
      <c r="B411" s="202" t="s">
        <v>1158</v>
      </c>
      <c r="C411" s="202" t="s">
        <v>1158</v>
      </c>
      <c r="D411" s="202" t="s">
        <v>818</v>
      </c>
      <c r="E411" s="202" t="s">
        <v>1159</v>
      </c>
      <c r="F411" s="202" t="s">
        <v>159</v>
      </c>
      <c r="G411" s="202"/>
      <c r="H411" s="202" t="s">
        <v>1160</v>
      </c>
      <c r="I411" s="202" t="s">
        <v>1160</v>
      </c>
      <c r="J411" s="223" t="str">
        <f t="shared" si="16"/>
        <v>TinCRM Synergies</v>
      </c>
      <c r="K411" s="223" t="str">
        <f t="shared" si="17"/>
        <v>TinCRM Synergies</v>
      </c>
    </row>
    <row r="412" spans="1:11">
      <c r="A412" s="202" t="s">
        <v>132</v>
      </c>
      <c r="B412" s="202" t="s">
        <v>1161</v>
      </c>
      <c r="C412" s="202" t="s">
        <v>1161</v>
      </c>
      <c r="D412" s="202" t="s">
        <v>748</v>
      </c>
      <c r="E412" s="202" t="s">
        <v>1162</v>
      </c>
      <c r="F412" s="202" t="s">
        <v>159</v>
      </c>
      <c r="G412" s="202"/>
      <c r="H412" s="202" t="s">
        <v>1130</v>
      </c>
      <c r="I412" s="202" t="s">
        <v>1126</v>
      </c>
      <c r="J412" s="223" t="str">
        <f t="shared" si="16"/>
        <v>TinCV Ayi Jaya</v>
      </c>
      <c r="K412" s="223" t="str">
        <f t="shared" si="17"/>
        <v>TinCV Ayi Jaya</v>
      </c>
    </row>
    <row r="413" spans="1:11">
      <c r="A413" s="202" t="s">
        <v>132</v>
      </c>
      <c r="B413" s="202" t="s">
        <v>1163</v>
      </c>
      <c r="C413" s="202" t="s">
        <v>1164</v>
      </c>
      <c r="D413" s="202" t="s">
        <v>748</v>
      </c>
      <c r="E413" s="202" t="s">
        <v>1165</v>
      </c>
      <c r="F413" s="202" t="s">
        <v>159</v>
      </c>
      <c r="G413" s="202"/>
      <c r="H413" s="202" t="s">
        <v>1166</v>
      </c>
      <c r="I413" s="202" t="s">
        <v>1126</v>
      </c>
      <c r="J413" s="223" t="str">
        <f t="shared" si="16"/>
        <v>TinCV Nurjanah</v>
      </c>
      <c r="K413" s="223" t="str">
        <f t="shared" si="17"/>
        <v>TinCV Nurjanah</v>
      </c>
    </row>
    <row r="414" spans="1:11">
      <c r="A414" s="202" t="s">
        <v>132</v>
      </c>
      <c r="B414" s="202" t="s">
        <v>1167</v>
      </c>
      <c r="C414" s="202" t="s">
        <v>1168</v>
      </c>
      <c r="D414" s="202" t="s">
        <v>748</v>
      </c>
      <c r="E414" s="202" t="s">
        <v>1169</v>
      </c>
      <c r="F414" s="202" t="s">
        <v>159</v>
      </c>
      <c r="G414" s="202"/>
      <c r="H414" s="202" t="s">
        <v>1170</v>
      </c>
      <c r="I414" s="202" t="s">
        <v>1126</v>
      </c>
      <c r="J414" s="223" t="str">
        <f t="shared" si="16"/>
        <v>TinCV Serumpun Sebalai</v>
      </c>
      <c r="K414" s="223" t="str">
        <f t="shared" si="17"/>
        <v>TinCV Serumpun Sebalai</v>
      </c>
    </row>
    <row r="415" spans="1:11">
      <c r="A415" s="202" t="s">
        <v>132</v>
      </c>
      <c r="B415" s="202" t="s">
        <v>1171</v>
      </c>
      <c r="C415" s="202" t="s">
        <v>1171</v>
      </c>
      <c r="D415" s="202" t="s">
        <v>748</v>
      </c>
      <c r="E415" s="202" t="s">
        <v>1172</v>
      </c>
      <c r="F415" s="202" t="s">
        <v>159</v>
      </c>
      <c r="G415" s="202"/>
      <c r="H415" s="202" t="s">
        <v>1125</v>
      </c>
      <c r="I415" s="202" t="s">
        <v>1126</v>
      </c>
      <c r="J415" s="223" t="str">
        <f t="shared" si="16"/>
        <v>TinCV Venus Inti Perkasa</v>
      </c>
      <c r="K415" s="223" t="str">
        <f t="shared" si="17"/>
        <v>TinCV Venus Inti Perkasa</v>
      </c>
    </row>
    <row r="416" spans="1:11">
      <c r="A416" s="202" t="s">
        <v>132</v>
      </c>
      <c r="B416" s="202" t="s">
        <v>1173</v>
      </c>
      <c r="C416" s="202" t="s">
        <v>1173</v>
      </c>
      <c r="D416" s="202" t="s">
        <v>237</v>
      </c>
      <c r="E416" s="202" t="s">
        <v>1174</v>
      </c>
      <c r="F416" s="202" t="s">
        <v>159</v>
      </c>
      <c r="G416" s="202"/>
      <c r="H416" s="202" t="s">
        <v>1175</v>
      </c>
      <c r="I416" s="202" t="s">
        <v>454</v>
      </c>
      <c r="J416" s="223" t="str">
        <f t="shared" si="16"/>
        <v>TinDongguan CiEXPO Environmental Engineering Co., Ltd.</v>
      </c>
      <c r="K416" s="223" t="str">
        <f t="shared" si="17"/>
        <v>TinDongguan CiEXPO Environmental Engineering Co., Ltd.</v>
      </c>
    </row>
    <row r="417" spans="1:11">
      <c r="A417" s="202" t="s">
        <v>132</v>
      </c>
      <c r="B417" s="202" t="s">
        <v>198</v>
      </c>
      <c r="C417" s="202" t="s">
        <v>198</v>
      </c>
      <c r="D417" s="202" t="s">
        <v>193</v>
      </c>
      <c r="E417" s="202" t="s">
        <v>1176</v>
      </c>
      <c r="F417" s="202" t="s">
        <v>159</v>
      </c>
      <c r="G417" s="202"/>
      <c r="H417" s="202" t="s">
        <v>200</v>
      </c>
      <c r="I417" s="202" t="s">
        <v>201</v>
      </c>
      <c r="J417" s="223" t="str">
        <f t="shared" si="16"/>
        <v>TinDowa</v>
      </c>
      <c r="K417" s="223" t="str">
        <f t="shared" si="17"/>
        <v>TinDowa</v>
      </c>
    </row>
    <row r="418" spans="1:11">
      <c r="A418" s="202" t="s">
        <v>132</v>
      </c>
      <c r="B418" s="202" t="s">
        <v>1177</v>
      </c>
      <c r="C418" s="202" t="s">
        <v>198</v>
      </c>
      <c r="D418" s="202" t="s">
        <v>193</v>
      </c>
      <c r="E418" s="202" t="s">
        <v>1176</v>
      </c>
      <c r="F418" s="202" t="s">
        <v>159</v>
      </c>
      <c r="G418" s="202"/>
      <c r="H418" s="202" t="s">
        <v>200</v>
      </c>
      <c r="I418" s="202" t="s">
        <v>201</v>
      </c>
      <c r="J418" s="223" t="str">
        <f t="shared" si="16"/>
        <v>TinDowa Metaltech Co., Ltd.</v>
      </c>
      <c r="K418" s="223" t="str">
        <f t="shared" si="17"/>
        <v>TinDowa Metaltech Co., Ltd.</v>
      </c>
    </row>
    <row r="419" spans="1:11">
      <c r="A419" s="202" t="s">
        <v>132</v>
      </c>
      <c r="B419" s="202" t="s">
        <v>1178</v>
      </c>
      <c r="C419" s="202" t="s">
        <v>1178</v>
      </c>
      <c r="D419" s="202" t="s">
        <v>1179</v>
      </c>
      <c r="E419" s="202" t="s">
        <v>1180</v>
      </c>
      <c r="F419" s="202" t="s">
        <v>159</v>
      </c>
      <c r="G419" s="202"/>
      <c r="H419" s="202" t="s">
        <v>1181</v>
      </c>
      <c r="I419" s="202" t="s">
        <v>1181</v>
      </c>
      <c r="J419" s="223" t="str">
        <f t="shared" si="16"/>
        <v>TinDS Myanmar</v>
      </c>
      <c r="K419" s="223" t="str">
        <f t="shared" si="17"/>
        <v>TinDS Myanmar</v>
      </c>
    </row>
    <row r="420" spans="1:11">
      <c r="A420" s="202" t="s">
        <v>132</v>
      </c>
      <c r="B420" s="202" t="s">
        <v>1182</v>
      </c>
      <c r="C420" s="202" t="s">
        <v>1182</v>
      </c>
      <c r="D420" s="202" t="s">
        <v>1111</v>
      </c>
      <c r="E420" s="202" t="s">
        <v>1183</v>
      </c>
      <c r="F420" s="202" t="s">
        <v>159</v>
      </c>
      <c r="G420" s="202"/>
      <c r="H420" s="202" t="s">
        <v>1184</v>
      </c>
      <c r="I420" s="202" t="s">
        <v>1185</v>
      </c>
      <c r="J420" s="223" t="str">
        <f t="shared" si="16"/>
        <v>TinElectro-Mechanical Facility of the Cao Bang Minerals &amp; Metallurgy Joint Stock Company</v>
      </c>
      <c r="K420" s="223" t="str">
        <f t="shared" si="17"/>
        <v>TinElectro-Mechanical Facility of the Cao Bang Minerals &amp; Metallurgy Joint Stock Company</v>
      </c>
    </row>
    <row r="421" spans="1:11">
      <c r="A421" s="202" t="s">
        <v>132</v>
      </c>
      <c r="B421" s="202" t="s">
        <v>1186</v>
      </c>
      <c r="C421" s="202" t="s">
        <v>1186</v>
      </c>
      <c r="D421" s="202" t="s">
        <v>1187</v>
      </c>
      <c r="E421" s="202" t="s">
        <v>1188</v>
      </c>
      <c r="F421" s="202" t="s">
        <v>159</v>
      </c>
      <c r="G421" s="202"/>
      <c r="H421" s="202" t="s">
        <v>1189</v>
      </c>
      <c r="I421" s="202" t="s">
        <v>1189</v>
      </c>
      <c r="J421" s="223" t="str">
        <f t="shared" si="16"/>
        <v>TinEM Vinto</v>
      </c>
      <c r="K421" s="223" t="str">
        <f t="shared" si="17"/>
        <v>TinEM Vinto</v>
      </c>
    </row>
    <row r="422" spans="1:11">
      <c r="A422" s="202" t="s">
        <v>132</v>
      </c>
      <c r="B422" s="202" t="s">
        <v>1190</v>
      </c>
      <c r="C422" s="202" t="s">
        <v>1186</v>
      </c>
      <c r="D422" s="202" t="s">
        <v>1187</v>
      </c>
      <c r="E422" s="202" t="s">
        <v>1188</v>
      </c>
      <c r="F422" s="202" t="s">
        <v>159</v>
      </c>
      <c r="G422" s="202"/>
      <c r="H422" s="202" t="s">
        <v>1189</v>
      </c>
      <c r="I422" s="202" t="s">
        <v>1189</v>
      </c>
      <c r="J422" s="223" t="str">
        <f t="shared" si="16"/>
        <v>TinEmpresa Metalúrgica Vinto</v>
      </c>
      <c r="K422" s="223" t="str">
        <f t="shared" si="17"/>
        <v>TinEmpresa Metalúrgica Vinto</v>
      </c>
    </row>
    <row r="423" spans="1:11">
      <c r="A423" s="202" t="s">
        <v>132</v>
      </c>
      <c r="B423" s="202" t="s">
        <v>1191</v>
      </c>
      <c r="C423" s="202" t="s">
        <v>1186</v>
      </c>
      <c r="D423" s="202" t="s">
        <v>1187</v>
      </c>
      <c r="E423" s="202" t="s">
        <v>1188</v>
      </c>
      <c r="F423" s="202" t="s">
        <v>159</v>
      </c>
      <c r="G423" s="202"/>
      <c r="H423" s="202" t="s">
        <v>1189</v>
      </c>
      <c r="I423" s="202" t="s">
        <v>1189</v>
      </c>
      <c r="J423" s="223" t="str">
        <f t="shared" si="16"/>
        <v>TinEmpressa Nacional de Fundiciones (ENAF)</v>
      </c>
      <c r="K423" s="223" t="str">
        <f t="shared" si="17"/>
        <v>TinEmpressa Nacional de Fundiciones (ENAF)</v>
      </c>
    </row>
    <row r="424" spans="1:11">
      <c r="A424" s="202" t="s">
        <v>132</v>
      </c>
      <c r="B424" s="202" t="s">
        <v>1192</v>
      </c>
      <c r="C424" s="202" t="s">
        <v>1186</v>
      </c>
      <c r="D424" s="202" t="s">
        <v>1187</v>
      </c>
      <c r="E424" s="202" t="s">
        <v>1188</v>
      </c>
      <c r="F424" s="202" t="s">
        <v>159</v>
      </c>
      <c r="G424" s="202"/>
      <c r="H424" s="202" t="s">
        <v>1189</v>
      </c>
      <c r="I424" s="202" t="s">
        <v>1189</v>
      </c>
      <c r="J424" s="223" t="str">
        <f t="shared" si="16"/>
        <v>TinENAF</v>
      </c>
      <c r="K424" s="223" t="str">
        <f t="shared" si="17"/>
        <v>TinENAF</v>
      </c>
    </row>
    <row r="425" spans="1:11">
      <c r="A425" s="202" t="s">
        <v>132</v>
      </c>
      <c r="B425" s="202" t="s">
        <v>1193</v>
      </c>
      <c r="C425" s="202" t="s">
        <v>1193</v>
      </c>
      <c r="D425" s="202" t="s">
        <v>230</v>
      </c>
      <c r="E425" s="202" t="s">
        <v>1194</v>
      </c>
      <c r="F425" s="202" t="s">
        <v>159</v>
      </c>
      <c r="G425" s="202"/>
      <c r="H425" s="202" t="s">
        <v>1195</v>
      </c>
      <c r="I425" s="202" t="s">
        <v>1196</v>
      </c>
      <c r="J425" s="223" t="str">
        <f t="shared" si="16"/>
        <v>TinEstanho de Rondonia S.A.</v>
      </c>
      <c r="K425" s="223" t="str">
        <f t="shared" si="17"/>
        <v>TinEstanho de Rondonia S.A.</v>
      </c>
    </row>
    <row r="426" spans="1:11">
      <c r="A426" s="202" t="s">
        <v>132</v>
      </c>
      <c r="B426" s="202" t="s">
        <v>1197</v>
      </c>
      <c r="C426" s="202" t="s">
        <v>1193</v>
      </c>
      <c r="D426" s="202" t="s">
        <v>230</v>
      </c>
      <c r="E426" s="202" t="s">
        <v>1194</v>
      </c>
      <c r="F426" s="202" t="s">
        <v>159</v>
      </c>
      <c r="G426" s="202"/>
      <c r="H426" s="202" t="s">
        <v>1195</v>
      </c>
      <c r="I426" s="202" t="s">
        <v>1196</v>
      </c>
      <c r="J426" s="223" t="str">
        <f t="shared" si="16"/>
        <v>TinEstanho de Rondônia S.A.</v>
      </c>
      <c r="K426" s="223" t="str">
        <f t="shared" si="17"/>
        <v>TinEstanho de Rondônia S.A.</v>
      </c>
    </row>
    <row r="427" spans="1:11">
      <c r="A427" s="202" t="s">
        <v>132</v>
      </c>
      <c r="B427" s="202" t="s">
        <v>1198</v>
      </c>
      <c r="C427" s="202" t="s">
        <v>1199</v>
      </c>
      <c r="D427" s="202" t="s">
        <v>230</v>
      </c>
      <c r="E427" s="202" t="s">
        <v>1200</v>
      </c>
      <c r="F427" s="202" t="s">
        <v>159</v>
      </c>
      <c r="G427" s="202"/>
      <c r="H427" s="202" t="s">
        <v>1201</v>
      </c>
      <c r="I427" s="202" t="s">
        <v>615</v>
      </c>
      <c r="J427" s="223" t="str">
        <f t="shared" si="16"/>
        <v>TinFabrica Auricchio</v>
      </c>
      <c r="K427" s="223" t="str">
        <f t="shared" si="17"/>
        <v>TinFabrica Auricchio</v>
      </c>
    </row>
    <row r="428" spans="1:11">
      <c r="A428" s="202" t="s">
        <v>132</v>
      </c>
      <c r="B428" s="202" t="s">
        <v>1202</v>
      </c>
      <c r="C428" s="202" t="s">
        <v>1199</v>
      </c>
      <c r="D428" s="202" t="s">
        <v>230</v>
      </c>
      <c r="E428" s="202" t="s">
        <v>1200</v>
      </c>
      <c r="F428" s="202" t="s">
        <v>159</v>
      </c>
      <c r="G428" s="202"/>
      <c r="H428" s="202" t="s">
        <v>1201</v>
      </c>
      <c r="I428" s="202" t="s">
        <v>615</v>
      </c>
      <c r="J428" s="223" t="str">
        <f t="shared" si="16"/>
        <v>TinFábrica Auricchio</v>
      </c>
      <c r="K428" s="223" t="str">
        <f t="shared" si="17"/>
        <v>TinFábrica Auricchio</v>
      </c>
    </row>
    <row r="429" spans="1:11">
      <c r="A429" s="202" t="s">
        <v>132</v>
      </c>
      <c r="B429" s="202" t="s">
        <v>1199</v>
      </c>
      <c r="C429" s="202" t="s">
        <v>1199</v>
      </c>
      <c r="D429" s="202" t="s">
        <v>230</v>
      </c>
      <c r="E429" s="202" t="s">
        <v>1200</v>
      </c>
      <c r="F429" s="202" t="s">
        <v>159</v>
      </c>
      <c r="G429" s="202"/>
      <c r="H429" s="202" t="s">
        <v>1201</v>
      </c>
      <c r="I429" s="202" t="s">
        <v>615</v>
      </c>
      <c r="J429" s="223" t="str">
        <f t="shared" si="16"/>
        <v>TinFabrica Auricchio Industria e Comercio Ltda.</v>
      </c>
      <c r="K429" s="223" t="str">
        <f t="shared" si="17"/>
        <v>TinFabrica Auricchio Industria e Comercio Ltda.</v>
      </c>
    </row>
    <row r="430" spans="1:11">
      <c r="A430" s="202" t="s">
        <v>132</v>
      </c>
      <c r="B430" s="202" t="s">
        <v>1203</v>
      </c>
      <c r="C430" s="202" t="s">
        <v>1203</v>
      </c>
      <c r="D430" s="202" t="s">
        <v>557</v>
      </c>
      <c r="E430" s="202" t="s">
        <v>1204</v>
      </c>
      <c r="F430" s="202" t="s">
        <v>159</v>
      </c>
      <c r="G430" s="202"/>
      <c r="H430" s="202" t="s">
        <v>1205</v>
      </c>
      <c r="I430" s="202" t="s">
        <v>1206</v>
      </c>
      <c r="J430" s="223" t="str">
        <f t="shared" si="16"/>
        <v>TinFenix Metals</v>
      </c>
      <c r="K430" s="223" t="str">
        <f t="shared" si="17"/>
        <v>TinFenix Metals</v>
      </c>
    </row>
    <row r="431" spans="1:11">
      <c r="A431" s="202" t="s">
        <v>132</v>
      </c>
      <c r="B431" s="202" t="s">
        <v>1207</v>
      </c>
      <c r="C431" s="202" t="s">
        <v>1208</v>
      </c>
      <c r="D431" s="202" t="s">
        <v>1209</v>
      </c>
      <c r="E431" s="202" t="s">
        <v>1210</v>
      </c>
      <c r="F431" s="202" t="s">
        <v>159</v>
      </c>
      <c r="G431" s="202"/>
      <c r="H431" s="202" t="s">
        <v>1211</v>
      </c>
      <c r="I431" s="202" t="s">
        <v>1212</v>
      </c>
      <c r="J431" s="223" t="str">
        <f t="shared" si="16"/>
        <v>TinFunsur Smelter</v>
      </c>
      <c r="K431" s="223" t="str">
        <f t="shared" si="17"/>
        <v>TinFunsur Smelter</v>
      </c>
    </row>
    <row r="432" spans="1:11">
      <c r="A432" s="202" t="s">
        <v>132</v>
      </c>
      <c r="B432" s="202" t="s">
        <v>1213</v>
      </c>
      <c r="C432" s="202" t="s">
        <v>1132</v>
      </c>
      <c r="D432" s="202" t="s">
        <v>237</v>
      </c>
      <c r="E432" s="202" t="s">
        <v>1133</v>
      </c>
      <c r="F432" s="202" t="s">
        <v>159</v>
      </c>
      <c r="G432" s="202"/>
      <c r="H432" s="202" t="s">
        <v>1134</v>
      </c>
      <c r="I432" s="202" t="s">
        <v>328</v>
      </c>
      <c r="J432" s="223" t="str">
        <f t="shared" si="16"/>
        <v>TinGejiu City Datun Chengfeng Smelter</v>
      </c>
      <c r="K432" s="223" t="str">
        <f t="shared" si="17"/>
        <v>TinGejiu City Datun Chengfeng Smelter</v>
      </c>
    </row>
    <row r="433" spans="1:11">
      <c r="A433" s="202" t="s">
        <v>132</v>
      </c>
      <c r="B433" s="202" t="s">
        <v>1214</v>
      </c>
      <c r="C433" s="202" t="s">
        <v>1214</v>
      </c>
      <c r="D433" s="202" t="s">
        <v>237</v>
      </c>
      <c r="E433" s="202" t="s">
        <v>1215</v>
      </c>
      <c r="F433" s="202" t="s">
        <v>159</v>
      </c>
      <c r="G433" s="202"/>
      <c r="H433" s="202" t="s">
        <v>1134</v>
      </c>
      <c r="I433" s="202" t="s">
        <v>328</v>
      </c>
      <c r="J433" s="223" t="str">
        <f t="shared" si="16"/>
        <v>TinGejiu City Fuxiang Industry and Trade Co., Ltd.</v>
      </c>
      <c r="K433" s="223" t="str">
        <f t="shared" si="17"/>
        <v>TinGejiu City Fuxiang Industry and Trade Co., Ltd.</v>
      </c>
    </row>
    <row r="434" spans="1:11">
      <c r="A434" s="202" t="s">
        <v>132</v>
      </c>
      <c r="B434" s="202" t="s">
        <v>1216</v>
      </c>
      <c r="C434" s="202" t="s">
        <v>1214</v>
      </c>
      <c r="D434" s="202" t="s">
        <v>237</v>
      </c>
      <c r="E434" s="202" t="s">
        <v>1215</v>
      </c>
      <c r="F434" s="202" t="s">
        <v>159</v>
      </c>
      <c r="G434" s="202"/>
      <c r="H434" s="202" t="s">
        <v>1134</v>
      </c>
      <c r="I434" s="202" t="s">
        <v>328</v>
      </c>
      <c r="J434" s="223" t="str">
        <f t="shared" si="16"/>
        <v>TinGejiu Fuxiang Gongmao Co., Ltd.</v>
      </c>
      <c r="K434" s="223" t="str">
        <f t="shared" si="17"/>
        <v>TinGejiu Fuxiang Gongmao Co., Ltd.</v>
      </c>
    </row>
    <row r="435" spans="1:11">
      <c r="A435" s="202" t="s">
        <v>132</v>
      </c>
      <c r="B435" s="202" t="s">
        <v>1217</v>
      </c>
      <c r="C435" s="202" t="s">
        <v>1217</v>
      </c>
      <c r="D435" s="202" t="s">
        <v>237</v>
      </c>
      <c r="E435" s="202" t="s">
        <v>1218</v>
      </c>
      <c r="F435" s="202" t="s">
        <v>159</v>
      </c>
      <c r="G435" s="202"/>
      <c r="H435" s="202" t="s">
        <v>1134</v>
      </c>
      <c r="I435" s="202" t="s">
        <v>328</v>
      </c>
      <c r="J435" s="223" t="str">
        <f t="shared" si="16"/>
        <v>TinGejiu Kai Meng Industry and Trade LLC</v>
      </c>
      <c r="K435" s="223" t="str">
        <f t="shared" si="17"/>
        <v>TinGejiu Kai Meng Industry and Trade LLC</v>
      </c>
    </row>
    <row r="436" spans="1:11">
      <c r="A436" s="202" t="s">
        <v>132</v>
      </c>
      <c r="B436" s="202" t="s">
        <v>1219</v>
      </c>
      <c r="C436" s="202" t="s">
        <v>1219</v>
      </c>
      <c r="D436" s="202" t="s">
        <v>237</v>
      </c>
      <c r="E436" s="202" t="s">
        <v>1220</v>
      </c>
      <c r="F436" s="202" t="s">
        <v>159</v>
      </c>
      <c r="G436" s="202"/>
      <c r="H436" s="202" t="s">
        <v>1134</v>
      </c>
      <c r="I436" s="202" t="s">
        <v>328</v>
      </c>
      <c r="J436" s="223" t="str">
        <f t="shared" si="16"/>
        <v>TinGejiu Non-Ferrous Metal Processing Co., Ltd.</v>
      </c>
      <c r="K436" s="223" t="str">
        <f t="shared" si="17"/>
        <v>TinGejiu Non-Ferrous Metal Processing Co., Ltd.</v>
      </c>
    </row>
    <row r="437" spans="1:11">
      <c r="A437" s="202" t="s">
        <v>132</v>
      </c>
      <c r="B437" s="202" t="s">
        <v>1221</v>
      </c>
      <c r="C437" s="202" t="s">
        <v>1221</v>
      </c>
      <c r="D437" s="202" t="s">
        <v>237</v>
      </c>
      <c r="E437" s="202" t="s">
        <v>1222</v>
      </c>
      <c r="F437" s="202" t="s">
        <v>159</v>
      </c>
      <c r="G437" s="202"/>
      <c r="H437" s="202" t="s">
        <v>1134</v>
      </c>
      <c r="I437" s="202" t="s">
        <v>328</v>
      </c>
      <c r="J437" s="223" t="str">
        <f t="shared" si="16"/>
        <v>TinGejiu Yunxin Nonferrous Electrolysis Co., Ltd.</v>
      </c>
      <c r="K437" s="223" t="str">
        <f t="shared" si="17"/>
        <v>TinGejiu Yunxin Nonferrous Electrolysis Co., Ltd.</v>
      </c>
    </row>
    <row r="438" spans="1:11">
      <c r="A438" s="202" t="s">
        <v>132</v>
      </c>
      <c r="B438" s="202" t="s">
        <v>1223</v>
      </c>
      <c r="C438" s="202" t="s">
        <v>1224</v>
      </c>
      <c r="D438" s="202" t="s">
        <v>237</v>
      </c>
      <c r="E438" s="202" t="s">
        <v>1225</v>
      </c>
      <c r="F438" s="202" t="s">
        <v>159</v>
      </c>
      <c r="G438" s="202"/>
      <c r="H438" s="202" t="s">
        <v>1134</v>
      </c>
      <c r="I438" s="202" t="s">
        <v>328</v>
      </c>
      <c r="J438" s="223" t="str">
        <f t="shared" si="16"/>
        <v>TinGejiu Zi-Li</v>
      </c>
      <c r="K438" s="223" t="str">
        <f t="shared" si="17"/>
        <v>TinGejiu Zi-Li</v>
      </c>
    </row>
    <row r="439" spans="1:11">
      <c r="A439" s="202" t="s">
        <v>132</v>
      </c>
      <c r="B439" s="202" t="s">
        <v>1224</v>
      </c>
      <c r="C439" s="202" t="s">
        <v>1224</v>
      </c>
      <c r="D439" s="202" t="s">
        <v>237</v>
      </c>
      <c r="E439" s="202" t="s">
        <v>1225</v>
      </c>
      <c r="F439" s="202" t="s">
        <v>159</v>
      </c>
      <c r="G439" s="202"/>
      <c r="H439" s="202" t="s">
        <v>1134</v>
      </c>
      <c r="I439" s="202" t="s">
        <v>328</v>
      </c>
      <c r="J439" s="223" t="str">
        <f t="shared" si="16"/>
        <v>TinGejiu Zili Mining And Metallurgy Co., Ltd.</v>
      </c>
      <c r="K439" s="223" t="str">
        <f t="shared" si="17"/>
        <v>TinGejiu Zili Mining And Metallurgy Co., Ltd.</v>
      </c>
    </row>
    <row r="440" spans="1:11">
      <c r="A440" s="202" t="s">
        <v>132</v>
      </c>
      <c r="B440" s="202" t="s">
        <v>1226</v>
      </c>
      <c r="C440" s="202" t="s">
        <v>1142</v>
      </c>
      <c r="D440" s="202" t="s">
        <v>237</v>
      </c>
      <c r="E440" s="202" t="s">
        <v>1143</v>
      </c>
      <c r="F440" s="202" t="s">
        <v>159</v>
      </c>
      <c r="G440" s="202"/>
      <c r="H440" s="202" t="s">
        <v>1144</v>
      </c>
      <c r="I440" s="202" t="s">
        <v>1145</v>
      </c>
      <c r="J440" s="223" t="str">
        <f t="shared" si="16"/>
        <v>TinGuang Xi Liu Xhou</v>
      </c>
      <c r="K440" s="223" t="str">
        <f t="shared" si="17"/>
        <v>TinGuang Xi Liu Xhou</v>
      </c>
    </row>
    <row r="441" spans="1:11">
      <c r="A441" s="202" t="s">
        <v>132</v>
      </c>
      <c r="B441" s="202" t="s">
        <v>1227</v>
      </c>
      <c r="C441" s="202" t="s">
        <v>1142</v>
      </c>
      <c r="D441" s="202" t="s">
        <v>237</v>
      </c>
      <c r="E441" s="202" t="s">
        <v>1143</v>
      </c>
      <c r="F441" s="202" t="s">
        <v>159</v>
      </c>
      <c r="G441" s="202"/>
      <c r="H441" s="202" t="s">
        <v>1144</v>
      </c>
      <c r="I441" s="202" t="s">
        <v>1145</v>
      </c>
      <c r="J441" s="223" t="str">
        <f t="shared" si="16"/>
        <v>TinGuang Xi Liu Zhou</v>
      </c>
      <c r="K441" s="223" t="str">
        <f t="shared" si="17"/>
        <v>TinGuang Xi Liu Zhou</v>
      </c>
    </row>
    <row r="442" spans="1:11">
      <c r="A442" s="202" t="s">
        <v>132</v>
      </c>
      <c r="B442" s="202" t="s">
        <v>1228</v>
      </c>
      <c r="C442" s="202" t="s">
        <v>1228</v>
      </c>
      <c r="D442" s="202" t="s">
        <v>237</v>
      </c>
      <c r="E442" s="202" t="s">
        <v>1229</v>
      </c>
      <c r="F442" s="202" t="s">
        <v>159</v>
      </c>
      <c r="G442" s="202"/>
      <c r="H442" s="202" t="s">
        <v>1230</v>
      </c>
      <c r="I442" s="202" t="s">
        <v>454</v>
      </c>
      <c r="J442" s="223" t="str">
        <f t="shared" si="16"/>
        <v>TinGuangdong Hanhe Non-Ferrous Metal Co., Ltd.</v>
      </c>
      <c r="K442" s="223" t="str">
        <f t="shared" si="17"/>
        <v>TinGuangdong Hanhe Non-Ferrous Metal Co., Ltd.</v>
      </c>
    </row>
    <row r="443" spans="1:11">
      <c r="A443" s="202" t="s">
        <v>132</v>
      </c>
      <c r="B443" s="202" t="s">
        <v>1231</v>
      </c>
      <c r="C443" s="202" t="s">
        <v>1142</v>
      </c>
      <c r="D443" s="202" t="s">
        <v>237</v>
      </c>
      <c r="E443" s="202" t="s">
        <v>1143</v>
      </c>
      <c r="F443" s="202" t="s">
        <v>159</v>
      </c>
      <c r="G443" s="202"/>
      <c r="H443" s="202" t="s">
        <v>1144</v>
      </c>
      <c r="I443" s="202" t="s">
        <v>1145</v>
      </c>
      <c r="J443" s="223" t="str">
        <f t="shared" si="16"/>
        <v>TinGuangXi China Tin</v>
      </c>
      <c r="K443" s="223" t="str">
        <f t="shared" si="17"/>
        <v>TinGuangXi China Tin</v>
      </c>
    </row>
    <row r="444" spans="1:11">
      <c r="A444" s="202" t="s">
        <v>132</v>
      </c>
      <c r="B444" s="202" t="s">
        <v>1232</v>
      </c>
      <c r="C444" s="202" t="s">
        <v>1142</v>
      </c>
      <c r="D444" s="202" t="s">
        <v>237</v>
      </c>
      <c r="E444" s="202" t="s">
        <v>1143</v>
      </c>
      <c r="F444" s="202" t="s">
        <v>159</v>
      </c>
      <c r="G444" s="202"/>
      <c r="H444" s="202" t="s">
        <v>1144</v>
      </c>
      <c r="I444" s="202" t="s">
        <v>1145</v>
      </c>
      <c r="J444" s="223" t="str">
        <f t="shared" si="16"/>
        <v>TinGuangxi Hua Shu Dan CO., LTD.</v>
      </c>
      <c r="K444" s="223" t="str">
        <f t="shared" si="17"/>
        <v>TinGuangxi Hua Shu Dan CO., LTD.</v>
      </c>
    </row>
    <row r="445" spans="1:11">
      <c r="A445" s="202" t="s">
        <v>132</v>
      </c>
      <c r="B445" s="202" t="s">
        <v>1233</v>
      </c>
      <c r="C445" s="202" t="s">
        <v>1234</v>
      </c>
      <c r="D445" s="202" t="s">
        <v>686</v>
      </c>
      <c r="E445" s="202" t="s">
        <v>1235</v>
      </c>
      <c r="F445" s="202" t="s">
        <v>159</v>
      </c>
      <c r="G445" s="202"/>
      <c r="H445" s="202" t="s">
        <v>1236</v>
      </c>
      <c r="I445" s="202" t="s">
        <v>1237</v>
      </c>
      <c r="J445" s="223" t="str">
        <f t="shared" si="16"/>
        <v>TinHulterworth Smelter</v>
      </c>
      <c r="K445" s="223" t="str">
        <f t="shared" si="17"/>
        <v>TinHulterworth Smelter</v>
      </c>
    </row>
    <row r="446" spans="1:11">
      <c r="A446" s="202" t="s">
        <v>132</v>
      </c>
      <c r="B446" s="202" t="s">
        <v>1238</v>
      </c>
      <c r="C446" s="202" t="s">
        <v>670</v>
      </c>
      <c r="D446" s="202" t="s">
        <v>193</v>
      </c>
      <c r="E446" s="202" t="s">
        <v>1239</v>
      </c>
      <c r="F446" s="202" t="s">
        <v>159</v>
      </c>
      <c r="G446" s="202"/>
      <c r="H446" s="202" t="s">
        <v>196</v>
      </c>
      <c r="I446" s="202" t="s">
        <v>196</v>
      </c>
      <c r="J446" s="223" t="str">
        <f t="shared" si="16"/>
        <v>TinIkuno Tin Smelter</v>
      </c>
      <c r="K446" s="223" t="str">
        <f t="shared" si="17"/>
        <v>TinIkuno Tin Smelter</v>
      </c>
    </row>
    <row r="447" spans="1:11">
      <c r="A447" s="202" t="s">
        <v>132</v>
      </c>
      <c r="B447" s="202" t="s">
        <v>1240</v>
      </c>
      <c r="C447" s="202" t="s">
        <v>1241</v>
      </c>
      <c r="D447" s="202" t="s">
        <v>748</v>
      </c>
      <c r="E447" s="202" t="s">
        <v>1242</v>
      </c>
      <c r="F447" s="202" t="s">
        <v>159</v>
      </c>
      <c r="G447" s="202"/>
      <c r="H447" s="202" t="s">
        <v>1243</v>
      </c>
      <c r="I447" s="202" t="s">
        <v>1126</v>
      </c>
      <c r="J447" s="223" t="str">
        <f t="shared" si="16"/>
        <v>TinINDONESIAN STATE TIN CORPORATION MENTOK SMELTER</v>
      </c>
      <c r="K447" s="223" t="str">
        <f t="shared" si="17"/>
        <v>TinINDONESIAN STATE TIN CORPORATION MENTOK SMELTER</v>
      </c>
    </row>
    <row r="448" spans="1:11">
      <c r="A448" s="202" t="s">
        <v>132</v>
      </c>
      <c r="B448" s="202" t="s">
        <v>1244</v>
      </c>
      <c r="C448" s="202" t="s">
        <v>1123</v>
      </c>
      <c r="D448" s="202" t="s">
        <v>748</v>
      </c>
      <c r="E448" s="202" t="s">
        <v>1124</v>
      </c>
      <c r="F448" s="202" t="s">
        <v>159</v>
      </c>
      <c r="G448" s="202"/>
      <c r="H448" s="202" t="s">
        <v>1125</v>
      </c>
      <c r="I448" s="202" t="s">
        <v>1126</v>
      </c>
      <c r="J448" s="223" t="str">
        <f t="shared" si="16"/>
        <v>TinIndra Eramulti Logam</v>
      </c>
      <c r="K448" s="223" t="str">
        <f t="shared" si="17"/>
        <v>TinIndra Eramulti Logam</v>
      </c>
    </row>
    <row r="449" spans="1:11">
      <c r="A449" s="202" t="s">
        <v>132</v>
      </c>
      <c r="B449" s="202" t="s">
        <v>1245</v>
      </c>
      <c r="C449" s="202" t="s">
        <v>1246</v>
      </c>
      <c r="D449" s="202" t="s">
        <v>237</v>
      </c>
      <c r="E449" s="202" t="s">
        <v>1247</v>
      </c>
      <c r="F449" s="202" t="s">
        <v>159</v>
      </c>
      <c r="G449" s="202"/>
      <c r="H449" s="202" t="s">
        <v>1248</v>
      </c>
      <c r="I449" s="202" t="s">
        <v>526</v>
      </c>
      <c r="J449" s="223" t="str">
        <f t="shared" si="16"/>
        <v>TinJiangxi Nanshan</v>
      </c>
      <c r="K449" s="223" t="str">
        <f t="shared" si="17"/>
        <v>TinJiangxi Nanshan</v>
      </c>
    </row>
    <row r="450" spans="1:11">
      <c r="A450" s="202" t="s">
        <v>132</v>
      </c>
      <c r="B450" s="202" t="s">
        <v>1246</v>
      </c>
      <c r="C450" s="202" t="s">
        <v>1246</v>
      </c>
      <c r="D450" s="202" t="s">
        <v>237</v>
      </c>
      <c r="E450" s="202" t="s">
        <v>1247</v>
      </c>
      <c r="F450" s="202" t="s">
        <v>159</v>
      </c>
      <c r="G450" s="202"/>
      <c r="H450" s="202" t="s">
        <v>1248</v>
      </c>
      <c r="I450" s="202" t="s">
        <v>526</v>
      </c>
      <c r="J450" s="223" t="str">
        <f t="shared" si="16"/>
        <v>TinJiangxi New Nanshan Technology Ltd.</v>
      </c>
      <c r="K450" s="223" t="str">
        <f t="shared" si="17"/>
        <v>TinJiangxi New Nanshan Technology Ltd.</v>
      </c>
    </row>
    <row r="451" spans="1:11">
      <c r="A451" s="202" t="s">
        <v>132</v>
      </c>
      <c r="B451" s="202" t="s">
        <v>1249</v>
      </c>
      <c r="C451" s="202" t="s">
        <v>1217</v>
      </c>
      <c r="D451" s="202" t="s">
        <v>237</v>
      </c>
      <c r="E451" s="202" t="s">
        <v>1218</v>
      </c>
      <c r="F451" s="202" t="s">
        <v>159</v>
      </c>
      <c r="G451" s="202"/>
      <c r="H451" s="202" t="s">
        <v>1134</v>
      </c>
      <c r="I451" s="202" t="s">
        <v>328</v>
      </c>
      <c r="J451" s="223" t="str">
        <f t="shared" si="16"/>
        <v>TinKai Union Industry and Trade Co., Ltd. (China)</v>
      </c>
      <c r="K451" s="223" t="str">
        <f t="shared" si="17"/>
        <v>TinKai Union Industry and Trade Co., Ltd. (China)</v>
      </c>
    </row>
    <row r="452" spans="1:11">
      <c r="A452" s="202" t="s">
        <v>132</v>
      </c>
      <c r="B452" s="202" t="s">
        <v>1250</v>
      </c>
      <c r="C452" s="202" t="s">
        <v>1217</v>
      </c>
      <c r="D452" s="202" t="s">
        <v>237</v>
      </c>
      <c r="E452" s="202" t="s">
        <v>1218</v>
      </c>
      <c r="F452" s="202" t="s">
        <v>159</v>
      </c>
      <c r="G452" s="202"/>
      <c r="H452" s="202" t="s">
        <v>1134</v>
      </c>
      <c r="I452" s="202" t="s">
        <v>328</v>
      </c>
      <c r="J452" s="223" t="str">
        <f t="shared" si="16"/>
        <v>TinKai Unita Trade Limited Liability Company</v>
      </c>
      <c r="K452" s="223" t="str">
        <f t="shared" si="17"/>
        <v>TinKai Unita Trade Limited Liability Company</v>
      </c>
    </row>
    <row r="453" spans="1:11">
      <c r="A453" s="202" t="s">
        <v>132</v>
      </c>
      <c r="B453" s="202" t="s">
        <v>1251</v>
      </c>
      <c r="C453" s="202" t="s">
        <v>1217</v>
      </c>
      <c r="D453" s="202" t="s">
        <v>237</v>
      </c>
      <c r="E453" s="202" t="s">
        <v>1218</v>
      </c>
      <c r="F453" s="202" t="s">
        <v>159</v>
      </c>
      <c r="G453" s="202"/>
      <c r="H453" s="202" t="s">
        <v>1134</v>
      </c>
      <c r="I453" s="202" t="s">
        <v>328</v>
      </c>
      <c r="J453" s="223" t="str">
        <f t="shared" si="16"/>
        <v>TinKaimeng (Gejiu) Industry and Trade Co., Ltd.</v>
      </c>
      <c r="K453" s="223" t="str">
        <f t="shared" si="17"/>
        <v>TinKaimeng (Gejiu) Industry and Trade Co., Ltd.</v>
      </c>
    </row>
    <row r="454" spans="1:11">
      <c r="A454" s="202" t="s">
        <v>132</v>
      </c>
      <c r="B454" s="202" t="s">
        <v>1252</v>
      </c>
      <c r="C454" s="202" t="s">
        <v>1253</v>
      </c>
      <c r="D454" s="202" t="s">
        <v>748</v>
      </c>
      <c r="E454" s="202" t="s">
        <v>1254</v>
      </c>
      <c r="F454" s="202" t="s">
        <v>159</v>
      </c>
      <c r="G454" s="202"/>
      <c r="H454" s="202" t="s">
        <v>1255</v>
      </c>
      <c r="I454" s="202" t="s">
        <v>1256</v>
      </c>
      <c r="J454" s="223" t="str">
        <f t="shared" ref="J454:J517" si="18">A454&amp;B454</f>
        <v>TinKundur Smelter</v>
      </c>
      <c r="K454" s="223" t="str">
        <f t="shared" ref="K454:K517" si="19">A454&amp;B454</f>
        <v>TinKundur Smelter</v>
      </c>
    </row>
    <row r="455" spans="1:11">
      <c r="A455" s="202" t="s">
        <v>132</v>
      </c>
      <c r="B455" s="202" t="s">
        <v>1257</v>
      </c>
      <c r="C455" s="202" t="s">
        <v>1142</v>
      </c>
      <c r="D455" s="202" t="s">
        <v>237</v>
      </c>
      <c r="E455" s="202" t="s">
        <v>1143</v>
      </c>
      <c r="F455" s="202" t="s">
        <v>159</v>
      </c>
      <c r="G455" s="202"/>
      <c r="H455" s="202" t="s">
        <v>1144</v>
      </c>
      <c r="I455" s="202" t="s">
        <v>1145</v>
      </c>
      <c r="J455" s="223" t="str">
        <f t="shared" si="18"/>
        <v>TinLiuzhhou China Tin</v>
      </c>
      <c r="K455" s="223" t="str">
        <f t="shared" si="19"/>
        <v>TinLiuzhhou China Tin</v>
      </c>
    </row>
    <row r="456" spans="1:11">
      <c r="A456" s="202" t="s">
        <v>132</v>
      </c>
      <c r="B456" s="202" t="s">
        <v>1258</v>
      </c>
      <c r="C456" s="202" t="s">
        <v>1258</v>
      </c>
      <c r="D456" s="202" t="s">
        <v>1062</v>
      </c>
      <c r="E456" s="202" t="s">
        <v>1259</v>
      </c>
      <c r="F456" s="202" t="s">
        <v>159</v>
      </c>
      <c r="G456" s="202"/>
      <c r="H456" s="202" t="s">
        <v>1064</v>
      </c>
      <c r="I456" s="202" t="s">
        <v>1065</v>
      </c>
      <c r="J456" s="223" t="str">
        <f t="shared" si="18"/>
        <v>TinLuna Smelter, Ltd.</v>
      </c>
      <c r="K456" s="223" t="str">
        <f t="shared" si="19"/>
        <v>TinLuna Smelter, Ltd.</v>
      </c>
    </row>
    <row r="457" spans="1:11">
      <c r="A457" s="202" t="s">
        <v>132</v>
      </c>
      <c r="B457" s="202" t="s">
        <v>1260</v>
      </c>
      <c r="C457" s="202" t="s">
        <v>1260</v>
      </c>
      <c r="D457" s="202" t="s">
        <v>230</v>
      </c>
      <c r="E457" s="202" t="s">
        <v>1261</v>
      </c>
      <c r="F457" s="202" t="s">
        <v>159</v>
      </c>
      <c r="G457" s="202"/>
      <c r="H457" s="202" t="s">
        <v>967</v>
      </c>
      <c r="I457" s="202" t="s">
        <v>233</v>
      </c>
      <c r="J457" s="223" t="str">
        <f t="shared" si="18"/>
        <v>TinMagnu's Minerais Metais e Ligas Ltda.</v>
      </c>
      <c r="K457" s="223" t="str">
        <f t="shared" si="19"/>
        <v>TinMagnu's Minerais Metais e Ligas Ltda.</v>
      </c>
    </row>
    <row r="458" spans="1:11">
      <c r="A458" s="202" t="s">
        <v>132</v>
      </c>
      <c r="B458" s="202" t="s">
        <v>1234</v>
      </c>
      <c r="C458" s="202" t="s">
        <v>1234</v>
      </c>
      <c r="D458" s="202" t="s">
        <v>686</v>
      </c>
      <c r="E458" s="202" t="s">
        <v>1235</v>
      </c>
      <c r="F458" s="202" t="s">
        <v>159</v>
      </c>
      <c r="G458" s="202"/>
      <c r="H458" s="202" t="s">
        <v>1236</v>
      </c>
      <c r="I458" s="202" t="s">
        <v>1237</v>
      </c>
      <c r="J458" s="223" t="str">
        <f t="shared" si="18"/>
        <v>TinMalaysia Smelting Corporation (MSC)</v>
      </c>
      <c r="K458" s="223" t="str">
        <f t="shared" si="19"/>
        <v>TinMalaysia Smelting Corporation (MSC)</v>
      </c>
    </row>
    <row r="459" spans="1:11">
      <c r="A459" s="202" t="s">
        <v>132</v>
      </c>
      <c r="B459" s="202" t="s">
        <v>1262</v>
      </c>
      <c r="C459" s="202" t="s">
        <v>1262</v>
      </c>
      <c r="D459" s="202" t="s">
        <v>230</v>
      </c>
      <c r="E459" s="202" t="s">
        <v>1263</v>
      </c>
      <c r="F459" s="202" t="s">
        <v>159</v>
      </c>
      <c r="G459" s="202"/>
      <c r="H459" s="202" t="s">
        <v>1195</v>
      </c>
      <c r="I459" s="202" t="s">
        <v>1196</v>
      </c>
      <c r="J459" s="223" t="str">
        <f t="shared" si="18"/>
        <v>TinMelt Metais e Ligas S.A.</v>
      </c>
      <c r="K459" s="223" t="str">
        <f t="shared" si="19"/>
        <v>TinMelt Metais e Ligas S.A.</v>
      </c>
    </row>
    <row r="460" spans="1:11">
      <c r="A460" s="202" t="s">
        <v>132</v>
      </c>
      <c r="B460" s="202" t="s">
        <v>1264</v>
      </c>
      <c r="C460" s="202" t="s">
        <v>1241</v>
      </c>
      <c r="D460" s="202" t="s">
        <v>748</v>
      </c>
      <c r="E460" s="202" t="s">
        <v>1242</v>
      </c>
      <c r="F460" s="202" t="s">
        <v>159</v>
      </c>
      <c r="G460" s="202"/>
      <c r="H460" s="202" t="s">
        <v>1243</v>
      </c>
      <c r="I460" s="202" t="s">
        <v>1126</v>
      </c>
      <c r="J460" s="223" t="str">
        <f t="shared" si="18"/>
        <v>TinMentok Smelter</v>
      </c>
      <c r="K460" s="223" t="str">
        <f t="shared" si="19"/>
        <v>TinMentok Smelter</v>
      </c>
    </row>
    <row r="461" spans="1:11">
      <c r="A461" s="202" t="s">
        <v>132</v>
      </c>
      <c r="B461" s="202" t="s">
        <v>1265</v>
      </c>
      <c r="C461" s="202" t="s">
        <v>1142</v>
      </c>
      <c r="D461" s="202" t="s">
        <v>237</v>
      </c>
      <c r="E461" s="202" t="s">
        <v>1143</v>
      </c>
      <c r="F461" s="202" t="s">
        <v>159</v>
      </c>
      <c r="G461" s="202"/>
      <c r="H461" s="202" t="s">
        <v>1144</v>
      </c>
      <c r="I461" s="202" t="s">
        <v>1145</v>
      </c>
      <c r="J461" s="223" t="str">
        <f t="shared" si="18"/>
        <v>TinMetallic Materials Branch of Guangxi China Tin Group Co.,Ltd.</v>
      </c>
      <c r="K461" s="223" t="str">
        <f t="shared" si="19"/>
        <v>TinMetallic Materials Branch of Guangxi China Tin Group Co.,Ltd.</v>
      </c>
    </row>
    <row r="462" spans="1:11">
      <c r="A462" s="202" t="s">
        <v>132</v>
      </c>
      <c r="B462" s="202" t="s">
        <v>1266</v>
      </c>
      <c r="C462" s="202" t="s">
        <v>1266</v>
      </c>
      <c r="D462" s="202" t="s">
        <v>168</v>
      </c>
      <c r="E462" s="202" t="s">
        <v>1267</v>
      </c>
      <c r="F462" s="202" t="s">
        <v>159</v>
      </c>
      <c r="G462" s="202"/>
      <c r="H462" s="202" t="s">
        <v>1268</v>
      </c>
      <c r="I462" s="202" t="s">
        <v>216</v>
      </c>
      <c r="J462" s="223" t="str">
        <f t="shared" si="18"/>
        <v>TinMetallic Resources, Inc.</v>
      </c>
      <c r="K462" s="223" t="str">
        <f t="shared" si="19"/>
        <v>TinMetallic Resources, Inc.</v>
      </c>
    </row>
    <row r="463" spans="1:11">
      <c r="A463" s="202" t="s">
        <v>132</v>
      </c>
      <c r="B463" s="202" t="s">
        <v>1269</v>
      </c>
      <c r="C463" s="202" t="s">
        <v>1115</v>
      </c>
      <c r="D463" s="202" t="s">
        <v>497</v>
      </c>
      <c r="E463" s="202" t="s">
        <v>1116</v>
      </c>
      <c r="F463" s="202" t="s">
        <v>159</v>
      </c>
      <c r="G463" s="202"/>
      <c r="H463" s="202" t="s">
        <v>1117</v>
      </c>
      <c r="I463" s="202" t="s">
        <v>500</v>
      </c>
      <c r="J463" s="223" t="str">
        <f t="shared" si="18"/>
        <v>TinMetallo Belgium N.V.</v>
      </c>
      <c r="K463" s="223" t="str">
        <f t="shared" si="19"/>
        <v>TinMetallo Belgium N.V.</v>
      </c>
    </row>
    <row r="464" spans="1:11">
      <c r="A464" s="202" t="s">
        <v>132</v>
      </c>
      <c r="B464" s="202" t="s">
        <v>1270</v>
      </c>
      <c r="C464" s="202" t="s">
        <v>1118</v>
      </c>
      <c r="D464" s="202" t="s">
        <v>818</v>
      </c>
      <c r="E464" s="202" t="s">
        <v>1119</v>
      </c>
      <c r="F464" s="202" t="s">
        <v>159</v>
      </c>
      <c r="G464" s="202"/>
      <c r="H464" s="202" t="s">
        <v>1120</v>
      </c>
      <c r="I464" s="202" t="s">
        <v>1121</v>
      </c>
      <c r="J464" s="223" t="str">
        <f t="shared" si="18"/>
        <v>TinMetallo Spain S.L.U.</v>
      </c>
      <c r="K464" s="223" t="str">
        <f t="shared" si="19"/>
        <v>TinMetallo Spain S.L.U.</v>
      </c>
    </row>
    <row r="465" spans="1:11">
      <c r="A465" s="202" t="s">
        <v>132</v>
      </c>
      <c r="B465" s="202" t="s">
        <v>1042</v>
      </c>
      <c r="C465" s="202" t="s">
        <v>1042</v>
      </c>
      <c r="D465" s="202" t="s">
        <v>230</v>
      </c>
      <c r="E465" s="202" t="s">
        <v>1271</v>
      </c>
      <c r="F465" s="202" t="s">
        <v>159</v>
      </c>
      <c r="G465" s="202"/>
      <c r="H465" s="202" t="s">
        <v>1272</v>
      </c>
      <c r="I465" s="202" t="s">
        <v>615</v>
      </c>
      <c r="J465" s="223" t="str">
        <f t="shared" si="18"/>
        <v>TinMineracao Taboca S.A.</v>
      </c>
      <c r="K465" s="223" t="str">
        <f t="shared" si="19"/>
        <v>TinMineracao Taboca S.A.</v>
      </c>
    </row>
    <row r="466" spans="1:11">
      <c r="A466" s="202" t="s">
        <v>132</v>
      </c>
      <c r="B466" s="202" t="s">
        <v>1045</v>
      </c>
      <c r="C466" s="202" t="s">
        <v>1042</v>
      </c>
      <c r="D466" s="202" t="s">
        <v>230</v>
      </c>
      <c r="E466" s="202" t="s">
        <v>1271</v>
      </c>
      <c r="F466" s="202" t="s">
        <v>159</v>
      </c>
      <c r="G466" s="202"/>
      <c r="H466" s="202" t="s">
        <v>1272</v>
      </c>
      <c r="I466" s="202" t="s">
        <v>615</v>
      </c>
      <c r="J466" s="223" t="str">
        <f t="shared" si="18"/>
        <v>TinMineração Taboca S.A.</v>
      </c>
      <c r="K466" s="223" t="str">
        <f t="shared" si="19"/>
        <v>TinMineração Taboca S.A.</v>
      </c>
    </row>
    <row r="467" spans="1:11">
      <c r="A467" s="202" t="s">
        <v>132</v>
      </c>
      <c r="B467" s="202" t="s">
        <v>1046</v>
      </c>
      <c r="C467" s="202" t="s">
        <v>1042</v>
      </c>
      <c r="D467" s="202" t="s">
        <v>230</v>
      </c>
      <c r="E467" s="202" t="s">
        <v>1271</v>
      </c>
      <c r="F467" s="202" t="s">
        <v>159</v>
      </c>
      <c r="G467" s="202"/>
      <c r="H467" s="202" t="s">
        <v>1272</v>
      </c>
      <c r="I467" s="202" t="s">
        <v>615</v>
      </c>
      <c r="J467" s="223" t="str">
        <f t="shared" si="18"/>
        <v>TinMineracao Taboca SA</v>
      </c>
      <c r="K467" s="223" t="str">
        <f t="shared" si="19"/>
        <v>TinMineracao Taboca SA</v>
      </c>
    </row>
    <row r="468" spans="1:11">
      <c r="A468" s="202" t="s">
        <v>132</v>
      </c>
      <c r="B468" s="202" t="s">
        <v>1273</v>
      </c>
      <c r="C468" s="202" t="s">
        <v>1274</v>
      </c>
      <c r="D468" s="202" t="s">
        <v>1111</v>
      </c>
      <c r="E468" s="202" t="s">
        <v>1275</v>
      </c>
      <c r="F468" s="202" t="s">
        <v>159</v>
      </c>
      <c r="G468" s="202"/>
      <c r="H468" s="202" t="s">
        <v>1276</v>
      </c>
      <c r="I468" s="202" t="s">
        <v>1277</v>
      </c>
      <c r="J468" s="223" t="str">
        <f t="shared" si="18"/>
        <v>TinMining and processing tin-tungsten ore Giang Son - VQB Co., Ltd.</v>
      </c>
      <c r="K468" s="223" t="str">
        <f t="shared" si="19"/>
        <v>TinMining and processing tin-tungsten ore Giang Son - VQB Co., Ltd.</v>
      </c>
    </row>
    <row r="469" spans="1:11">
      <c r="A469" s="202" t="s">
        <v>132</v>
      </c>
      <c r="B469" s="202" t="s">
        <v>1278</v>
      </c>
      <c r="C469" s="202" t="s">
        <v>1278</v>
      </c>
      <c r="D469" s="202" t="s">
        <v>1279</v>
      </c>
      <c r="E469" s="202" t="s">
        <v>1280</v>
      </c>
      <c r="F469" s="202" t="s">
        <v>159</v>
      </c>
      <c r="G469" s="202"/>
      <c r="H469" s="202" t="s">
        <v>1281</v>
      </c>
      <c r="I469" s="202" t="s">
        <v>1282</v>
      </c>
      <c r="J469" s="223" t="str">
        <f t="shared" si="18"/>
        <v>TinMining Minerals Resources SARL</v>
      </c>
      <c r="K469" s="223" t="str">
        <f t="shared" si="19"/>
        <v>TinMining Minerals Resources SARL</v>
      </c>
    </row>
    <row r="470" spans="1:11">
      <c r="A470" s="202" t="s">
        <v>132</v>
      </c>
      <c r="B470" s="202" t="s">
        <v>1208</v>
      </c>
      <c r="C470" s="202" t="s">
        <v>1208</v>
      </c>
      <c r="D470" s="202" t="s">
        <v>1209</v>
      </c>
      <c r="E470" s="202" t="s">
        <v>1210</v>
      </c>
      <c r="F470" s="202" t="s">
        <v>159</v>
      </c>
      <c r="G470" s="202"/>
      <c r="H470" s="202" t="s">
        <v>1211</v>
      </c>
      <c r="I470" s="202" t="s">
        <v>1212</v>
      </c>
      <c r="J470" s="223" t="str">
        <f t="shared" si="18"/>
        <v>TinMinsur</v>
      </c>
      <c r="K470" s="223" t="str">
        <f t="shared" si="19"/>
        <v>TinMinsur</v>
      </c>
    </row>
    <row r="471" spans="1:11">
      <c r="A471" s="202" t="s">
        <v>132</v>
      </c>
      <c r="B471" s="202" t="s">
        <v>670</v>
      </c>
      <c r="C471" s="202" t="s">
        <v>670</v>
      </c>
      <c r="D471" s="202" t="s">
        <v>193</v>
      </c>
      <c r="E471" s="202" t="s">
        <v>1239</v>
      </c>
      <c r="F471" s="202" t="s">
        <v>159</v>
      </c>
      <c r="G471" s="202"/>
      <c r="H471" s="202" t="s">
        <v>196</v>
      </c>
      <c r="I471" s="202" t="s">
        <v>196</v>
      </c>
      <c r="J471" s="223" t="str">
        <f t="shared" si="18"/>
        <v>TinMitsubishi Materials Corporation</v>
      </c>
      <c r="K471" s="223" t="str">
        <f t="shared" si="19"/>
        <v>TinMitsubishi Materials Corporation</v>
      </c>
    </row>
    <row r="472" spans="1:11">
      <c r="A472" s="202" t="s">
        <v>132</v>
      </c>
      <c r="B472" s="202" t="s">
        <v>685</v>
      </c>
      <c r="C472" s="202" t="s">
        <v>685</v>
      </c>
      <c r="D472" s="202" t="s">
        <v>686</v>
      </c>
      <c r="E472" s="202" t="s">
        <v>1283</v>
      </c>
      <c r="F472" s="202" t="s">
        <v>159</v>
      </c>
      <c r="G472" s="202"/>
      <c r="H472" s="202" t="s">
        <v>688</v>
      </c>
      <c r="I472" s="202" t="s">
        <v>689</v>
      </c>
      <c r="J472" s="223" t="str">
        <f t="shared" si="18"/>
        <v>TinModeltech Sdn Bhd</v>
      </c>
      <c r="K472" s="223" t="str">
        <f t="shared" si="19"/>
        <v>TinModeltech Sdn Bhd</v>
      </c>
    </row>
    <row r="473" spans="1:11">
      <c r="A473" s="202" t="s">
        <v>132</v>
      </c>
      <c r="B473" s="202" t="s">
        <v>1284</v>
      </c>
      <c r="C473" s="202" t="s">
        <v>1234</v>
      </c>
      <c r="D473" s="202" t="s">
        <v>686</v>
      </c>
      <c r="E473" s="202" t="s">
        <v>1235</v>
      </c>
      <c r="F473" s="202" t="s">
        <v>159</v>
      </c>
      <c r="G473" s="202"/>
      <c r="H473" s="202" t="s">
        <v>1236</v>
      </c>
      <c r="I473" s="202" t="s">
        <v>1237</v>
      </c>
      <c r="J473" s="223" t="str">
        <f t="shared" si="18"/>
        <v>TinMSC</v>
      </c>
      <c r="K473" s="223" t="str">
        <f t="shared" si="19"/>
        <v>TinMSC</v>
      </c>
    </row>
    <row r="474" spans="1:11">
      <c r="A474" s="202" t="s">
        <v>132</v>
      </c>
      <c r="B474" s="202" t="s">
        <v>1285</v>
      </c>
      <c r="C474" s="202" t="s">
        <v>1246</v>
      </c>
      <c r="D474" s="202" t="s">
        <v>237</v>
      </c>
      <c r="E474" s="202" t="s">
        <v>1247</v>
      </c>
      <c r="F474" s="202" t="s">
        <v>159</v>
      </c>
      <c r="G474" s="202"/>
      <c r="H474" s="202" t="s">
        <v>1248</v>
      </c>
      <c r="I474" s="202" t="s">
        <v>526</v>
      </c>
      <c r="J474" s="223" t="str">
        <f t="shared" si="18"/>
        <v>TinNankang Nanshan Tin Manufactory Co., Ltd.</v>
      </c>
      <c r="K474" s="223" t="str">
        <f t="shared" si="19"/>
        <v>TinNankang Nanshan Tin Manufactory Co., Ltd.</v>
      </c>
    </row>
    <row r="475" spans="1:11">
      <c r="A475" s="202" t="s">
        <v>132</v>
      </c>
      <c r="B475" s="202" t="s">
        <v>1286</v>
      </c>
      <c r="C475" s="202" t="s">
        <v>1246</v>
      </c>
      <c r="D475" s="202" t="s">
        <v>237</v>
      </c>
      <c r="E475" s="202" t="s">
        <v>1247</v>
      </c>
      <c r="F475" s="202" t="s">
        <v>159</v>
      </c>
      <c r="G475" s="202"/>
      <c r="H475" s="202" t="s">
        <v>1248</v>
      </c>
      <c r="I475" s="202" t="s">
        <v>526</v>
      </c>
      <c r="J475" s="223" t="str">
        <f t="shared" si="18"/>
        <v>TinNanshan Tin Co. Ltd.</v>
      </c>
      <c r="K475" s="223" t="str">
        <f t="shared" si="19"/>
        <v>TinNanshan Tin Co. Ltd.</v>
      </c>
    </row>
    <row r="476" spans="1:11">
      <c r="A476" s="202" t="s">
        <v>132</v>
      </c>
      <c r="B476" s="202" t="s">
        <v>1287</v>
      </c>
      <c r="C476" s="202" t="s">
        <v>1287</v>
      </c>
      <c r="D476" s="202" t="s">
        <v>1111</v>
      </c>
      <c r="E476" s="202" t="s">
        <v>1288</v>
      </c>
      <c r="F476" s="202" t="s">
        <v>159</v>
      </c>
      <c r="G476" s="202"/>
      <c r="H476" s="202" t="s">
        <v>1113</v>
      </c>
      <c r="I476" s="202" t="s">
        <v>1114</v>
      </c>
      <c r="J476" s="223" t="str">
        <f t="shared" si="18"/>
        <v>TinNghe Tinh Non-Ferrous Metals Joint Stock Company</v>
      </c>
      <c r="K476" s="223" t="str">
        <f t="shared" si="19"/>
        <v>TinNghe Tinh Non-Ferrous Metals Joint Stock Company</v>
      </c>
    </row>
    <row r="477" spans="1:11">
      <c r="A477" s="202" t="s">
        <v>132</v>
      </c>
      <c r="B477" s="202" t="s">
        <v>1289</v>
      </c>
      <c r="C477" s="202" t="s">
        <v>1290</v>
      </c>
      <c r="D477" s="202" t="s">
        <v>388</v>
      </c>
      <c r="E477" s="202" t="s">
        <v>1291</v>
      </c>
      <c r="F477" s="202" t="s">
        <v>159</v>
      </c>
      <c r="G477" s="202"/>
      <c r="H477" s="202" t="s">
        <v>417</v>
      </c>
      <c r="I477" s="202" t="s">
        <v>418</v>
      </c>
      <c r="J477" s="223" t="str">
        <f t="shared" si="18"/>
        <v>TinNovosibirsk Processing Plant Ltd.</v>
      </c>
      <c r="K477" s="223" t="str">
        <f t="shared" si="19"/>
        <v>TinNovosibirsk Processing Plant Ltd.</v>
      </c>
    </row>
    <row r="478" spans="1:11">
      <c r="A478" s="202" t="s">
        <v>132</v>
      </c>
      <c r="B478" s="202" t="s">
        <v>1290</v>
      </c>
      <c r="C478" s="202" t="s">
        <v>1290</v>
      </c>
      <c r="D478" s="202" t="s">
        <v>388</v>
      </c>
      <c r="E478" s="202" t="s">
        <v>1291</v>
      </c>
      <c r="F478" s="202" t="s">
        <v>159</v>
      </c>
      <c r="G478" s="202"/>
      <c r="H478" s="202" t="s">
        <v>417</v>
      </c>
      <c r="I478" s="202" t="s">
        <v>418</v>
      </c>
      <c r="J478" s="223" t="str">
        <f t="shared" si="18"/>
        <v>TinNovosibirsk Tin Combine</v>
      </c>
      <c r="K478" s="223" t="str">
        <f t="shared" si="19"/>
        <v>TinNovosibirsk Tin Combine</v>
      </c>
    </row>
    <row r="479" spans="1:11">
      <c r="A479" s="202" t="s">
        <v>132</v>
      </c>
      <c r="B479" s="202" t="s">
        <v>1292</v>
      </c>
      <c r="C479" s="202" t="s">
        <v>1292</v>
      </c>
      <c r="D479" s="202" t="s">
        <v>920</v>
      </c>
      <c r="E479" s="202" t="s">
        <v>1293</v>
      </c>
      <c r="F479" s="202" t="s">
        <v>159</v>
      </c>
      <c r="G479" s="202"/>
      <c r="H479" s="202" t="s">
        <v>1294</v>
      </c>
      <c r="I479" s="202" t="s">
        <v>1295</v>
      </c>
      <c r="J479" s="223" t="str">
        <f t="shared" si="18"/>
        <v>TinO.M. Manufacturing (Thailand) Co., Ltd.</v>
      </c>
      <c r="K479" s="223" t="str">
        <f t="shared" si="19"/>
        <v>TinO.M. Manufacturing (Thailand) Co., Ltd.</v>
      </c>
    </row>
    <row r="480" spans="1:11">
      <c r="A480" s="202" t="s">
        <v>132</v>
      </c>
      <c r="B480" s="202" t="s">
        <v>1296</v>
      </c>
      <c r="C480" s="202" t="s">
        <v>1296</v>
      </c>
      <c r="D480" s="202" t="s">
        <v>287</v>
      </c>
      <c r="E480" s="202" t="s">
        <v>1297</v>
      </c>
      <c r="F480" s="202" t="s">
        <v>159</v>
      </c>
      <c r="G480" s="202"/>
      <c r="H480" s="202" t="s">
        <v>1298</v>
      </c>
      <c r="I480" s="202" t="s">
        <v>1299</v>
      </c>
      <c r="J480" s="223" t="str">
        <f t="shared" si="18"/>
        <v>TinO.M. Manufacturing Philippines, Inc.</v>
      </c>
      <c r="K480" s="223" t="str">
        <f t="shared" si="19"/>
        <v>TinO.M. Manufacturing Philippines, Inc.</v>
      </c>
    </row>
    <row r="481" spans="1:11">
      <c r="A481" s="202" t="s">
        <v>132</v>
      </c>
      <c r="B481" s="202" t="s">
        <v>1300</v>
      </c>
      <c r="C481" s="202" t="s">
        <v>1301</v>
      </c>
      <c r="D481" s="202" t="s">
        <v>1187</v>
      </c>
      <c r="E481" s="202" t="s">
        <v>1302</v>
      </c>
      <c r="F481" s="202" t="s">
        <v>159</v>
      </c>
      <c r="G481" s="202"/>
      <c r="H481" s="202" t="s">
        <v>1189</v>
      </c>
      <c r="I481" s="202" t="s">
        <v>1189</v>
      </c>
      <c r="J481" s="223" t="str">
        <f t="shared" si="18"/>
        <v>TinOMSA</v>
      </c>
      <c r="K481" s="223" t="str">
        <f t="shared" si="19"/>
        <v>TinOMSA</v>
      </c>
    </row>
    <row r="482" spans="1:11">
      <c r="A482" s="202" t="s">
        <v>132</v>
      </c>
      <c r="B482" s="202" t="s">
        <v>1301</v>
      </c>
      <c r="C482" s="202" t="s">
        <v>1301</v>
      </c>
      <c r="D482" s="202" t="s">
        <v>1187</v>
      </c>
      <c r="E482" s="202" t="s">
        <v>1302</v>
      </c>
      <c r="F482" s="202" t="s">
        <v>159</v>
      </c>
      <c r="G482" s="202"/>
      <c r="H482" s="202" t="s">
        <v>1189</v>
      </c>
      <c r="I482" s="202" t="s">
        <v>1189</v>
      </c>
      <c r="J482" s="223" t="str">
        <f t="shared" si="18"/>
        <v>TinOperaciones Metalurgicas S.A.</v>
      </c>
      <c r="K482" s="223" t="str">
        <f t="shared" si="19"/>
        <v>TinOperaciones Metalurgicas S.A.</v>
      </c>
    </row>
    <row r="483" spans="1:11">
      <c r="A483" s="202" t="s">
        <v>132</v>
      </c>
      <c r="B483" s="202" t="s">
        <v>1303</v>
      </c>
      <c r="C483" s="202" t="s">
        <v>1301</v>
      </c>
      <c r="D483" s="202" t="s">
        <v>1187</v>
      </c>
      <c r="E483" s="202" t="s">
        <v>1302</v>
      </c>
      <c r="F483" s="202" t="s">
        <v>159</v>
      </c>
      <c r="G483" s="202"/>
      <c r="H483" s="202" t="s">
        <v>1189</v>
      </c>
      <c r="I483" s="202" t="s">
        <v>1189</v>
      </c>
      <c r="J483" s="223" t="str">
        <f t="shared" si="18"/>
        <v>TinOperaciones Metalúrgicas S.A.</v>
      </c>
      <c r="K483" s="223" t="str">
        <f t="shared" si="19"/>
        <v>TinOperaciones Metalúrgicas S.A.</v>
      </c>
    </row>
    <row r="484" spans="1:11">
      <c r="A484" s="202" t="s">
        <v>132</v>
      </c>
      <c r="B484" s="202" t="s">
        <v>1304</v>
      </c>
      <c r="C484" s="202" t="s">
        <v>1304</v>
      </c>
      <c r="D484" s="202" t="s">
        <v>1179</v>
      </c>
      <c r="E484" s="202" t="s">
        <v>1305</v>
      </c>
      <c r="F484" s="202" t="s">
        <v>159</v>
      </c>
      <c r="G484" s="202"/>
      <c r="H484" s="202" t="s">
        <v>1181</v>
      </c>
      <c r="I484" s="202" t="s">
        <v>1181</v>
      </c>
      <c r="J484" s="223" t="str">
        <f t="shared" si="18"/>
        <v>TinPongpipat Company Limited</v>
      </c>
      <c r="K484" s="223" t="str">
        <f t="shared" si="19"/>
        <v>TinPongpipat Company Limited</v>
      </c>
    </row>
    <row r="485" spans="1:11">
      <c r="A485" s="202" t="s">
        <v>132</v>
      </c>
      <c r="B485" s="202" t="s">
        <v>1306</v>
      </c>
      <c r="C485" s="202" t="s">
        <v>1306</v>
      </c>
      <c r="D485" s="202" t="s">
        <v>273</v>
      </c>
      <c r="E485" s="202" t="s">
        <v>1307</v>
      </c>
      <c r="F485" s="202" t="s">
        <v>159</v>
      </c>
      <c r="G485" s="202"/>
      <c r="H485" s="202" t="s">
        <v>1308</v>
      </c>
      <c r="I485" s="202" t="s">
        <v>1309</v>
      </c>
      <c r="J485" s="223" t="str">
        <f t="shared" si="18"/>
        <v>TinPrecious Minerals and Smelting Limited</v>
      </c>
      <c r="K485" s="223" t="str">
        <f t="shared" si="19"/>
        <v>TinPrecious Minerals and Smelting Limited</v>
      </c>
    </row>
    <row r="486" spans="1:11">
      <c r="A486" s="202" t="s">
        <v>132</v>
      </c>
      <c r="B486" s="202" t="s">
        <v>1164</v>
      </c>
      <c r="C486" s="202" t="s">
        <v>1164</v>
      </c>
      <c r="D486" s="202" t="s">
        <v>748</v>
      </c>
      <c r="E486" s="202" t="s">
        <v>1165</v>
      </c>
      <c r="F486" s="202" t="s">
        <v>159</v>
      </c>
      <c r="G486" s="202"/>
      <c r="H486" s="202" t="s">
        <v>1166</v>
      </c>
      <c r="I486" s="202" t="s">
        <v>1126</v>
      </c>
      <c r="J486" s="223" t="str">
        <f t="shared" si="18"/>
        <v>TinPT Aries Kencana Sejahtera</v>
      </c>
      <c r="K486" s="223" t="str">
        <f t="shared" si="19"/>
        <v>TinPT Aries Kencana Sejahtera</v>
      </c>
    </row>
    <row r="487" spans="1:11">
      <c r="A487" s="202" t="s">
        <v>132</v>
      </c>
      <c r="B487" s="202" t="s">
        <v>1310</v>
      </c>
      <c r="C487" s="202" t="s">
        <v>1310</v>
      </c>
      <c r="D487" s="202" t="s">
        <v>748</v>
      </c>
      <c r="E487" s="202" t="s">
        <v>1311</v>
      </c>
      <c r="F487" s="202" t="s">
        <v>159</v>
      </c>
      <c r="G487" s="202"/>
      <c r="H487" s="202" t="s">
        <v>1130</v>
      </c>
      <c r="I487" s="202" t="s">
        <v>1126</v>
      </c>
      <c r="J487" s="223" t="str">
        <f t="shared" si="18"/>
        <v>TinPT Artha Cipta Langgeng</v>
      </c>
      <c r="K487" s="223" t="str">
        <f t="shared" si="19"/>
        <v>TinPT Artha Cipta Langgeng</v>
      </c>
    </row>
    <row r="488" spans="1:11">
      <c r="A488" s="202" t="s">
        <v>132</v>
      </c>
      <c r="B488" s="202" t="s">
        <v>1312</v>
      </c>
      <c r="C488" s="202" t="s">
        <v>1312</v>
      </c>
      <c r="D488" s="202" t="s">
        <v>748</v>
      </c>
      <c r="E488" s="202" t="s">
        <v>1313</v>
      </c>
      <c r="F488" s="202" t="s">
        <v>159</v>
      </c>
      <c r="G488" s="202"/>
      <c r="H488" s="202" t="s">
        <v>1130</v>
      </c>
      <c r="I488" s="202" t="s">
        <v>1126</v>
      </c>
      <c r="J488" s="223" t="str">
        <f t="shared" si="18"/>
        <v>TinPT ATD Makmur Mandiri Jaya</v>
      </c>
      <c r="K488" s="223" t="str">
        <f t="shared" si="19"/>
        <v>TinPT ATD Makmur Mandiri Jaya</v>
      </c>
    </row>
    <row r="489" spans="1:11">
      <c r="A489" s="202" t="s">
        <v>132</v>
      </c>
      <c r="B489" s="202" t="s">
        <v>1314</v>
      </c>
      <c r="C489" s="202" t="s">
        <v>1314</v>
      </c>
      <c r="D489" s="202" t="s">
        <v>748</v>
      </c>
      <c r="E489" s="202" t="s">
        <v>1315</v>
      </c>
      <c r="F489" s="202" t="s">
        <v>159</v>
      </c>
      <c r="G489" s="202"/>
      <c r="H489" s="202" t="s">
        <v>1316</v>
      </c>
      <c r="I489" s="182" t="s">
        <v>1126</v>
      </c>
      <c r="J489" s="223" t="str">
        <f t="shared" si="18"/>
        <v>TinPT Babel Inti Perkasa</v>
      </c>
      <c r="K489" s="223" t="str">
        <f t="shared" si="19"/>
        <v>TinPT Babel Inti Perkasa</v>
      </c>
    </row>
    <row r="490" spans="1:11">
      <c r="A490" s="202" t="s">
        <v>132</v>
      </c>
      <c r="B490" s="202" t="s">
        <v>1317</v>
      </c>
      <c r="C490" s="202" t="s">
        <v>1317</v>
      </c>
      <c r="D490" s="202" t="s">
        <v>748</v>
      </c>
      <c r="E490" s="202" t="s">
        <v>1318</v>
      </c>
      <c r="F490" s="202" t="s">
        <v>159</v>
      </c>
      <c r="G490" s="202"/>
      <c r="H490" s="202" t="s">
        <v>1319</v>
      </c>
      <c r="I490" s="182" t="s">
        <v>1126</v>
      </c>
      <c r="J490" s="223" t="str">
        <f t="shared" si="18"/>
        <v>TinPT Babel Surya Alam Lestari</v>
      </c>
      <c r="K490" s="223" t="str">
        <f t="shared" si="19"/>
        <v>TinPT Babel Surya Alam Lestari</v>
      </c>
    </row>
    <row r="491" spans="1:11">
      <c r="A491" s="202" t="s">
        <v>132</v>
      </c>
      <c r="B491" s="202" t="s">
        <v>1320</v>
      </c>
      <c r="C491" s="202" t="s">
        <v>1320</v>
      </c>
      <c r="D491" s="202" t="s">
        <v>748</v>
      </c>
      <c r="E491" s="202" t="s">
        <v>1321</v>
      </c>
      <c r="F491" s="202" t="s">
        <v>159</v>
      </c>
      <c r="G491" s="202"/>
      <c r="H491" s="202" t="s">
        <v>1322</v>
      </c>
      <c r="I491" s="202" t="s">
        <v>1126</v>
      </c>
      <c r="J491" s="223" t="str">
        <f t="shared" si="18"/>
        <v>TinPT Bangka Prima Tin</v>
      </c>
      <c r="K491" s="223" t="str">
        <f t="shared" si="19"/>
        <v>TinPT Bangka Prima Tin</v>
      </c>
    </row>
    <row r="492" spans="1:11">
      <c r="A492" s="202" t="s">
        <v>132</v>
      </c>
      <c r="B492" s="202" t="s">
        <v>1323</v>
      </c>
      <c r="C492" s="202" t="s">
        <v>1323</v>
      </c>
      <c r="D492" s="202" t="s">
        <v>748</v>
      </c>
      <c r="E492" s="202" t="s">
        <v>1324</v>
      </c>
      <c r="F492" s="202" t="s">
        <v>159</v>
      </c>
      <c r="G492" s="202"/>
      <c r="H492" s="202" t="s">
        <v>1325</v>
      </c>
      <c r="I492" s="202" t="s">
        <v>1126</v>
      </c>
      <c r="J492" s="223" t="str">
        <f t="shared" si="18"/>
        <v>TinPT Bangka Serumpun</v>
      </c>
      <c r="K492" s="223" t="str">
        <f t="shared" si="19"/>
        <v>TinPT Bangka Serumpun</v>
      </c>
    </row>
    <row r="493" spans="1:11">
      <c r="A493" s="202" t="s">
        <v>132</v>
      </c>
      <c r="B493" s="202" t="s">
        <v>1326</v>
      </c>
      <c r="C493" s="202" t="s">
        <v>1326</v>
      </c>
      <c r="D493" s="202" t="s">
        <v>748</v>
      </c>
      <c r="E493" s="202" t="s">
        <v>1327</v>
      </c>
      <c r="F493" s="202" t="s">
        <v>159</v>
      </c>
      <c r="G493" s="202"/>
      <c r="H493" s="202" t="s">
        <v>1130</v>
      </c>
      <c r="I493" s="202" t="s">
        <v>1126</v>
      </c>
      <c r="J493" s="223" t="str">
        <f t="shared" si="18"/>
        <v>TinPT Bangka Tin Industry</v>
      </c>
      <c r="K493" s="223" t="str">
        <f t="shared" si="19"/>
        <v>TinPT Bangka Tin Industry</v>
      </c>
    </row>
    <row r="494" spans="1:11">
      <c r="A494" s="202" t="s">
        <v>132</v>
      </c>
      <c r="B494" s="202" t="s">
        <v>1328</v>
      </c>
      <c r="C494" s="202" t="s">
        <v>1328</v>
      </c>
      <c r="D494" s="202" t="s">
        <v>748</v>
      </c>
      <c r="E494" s="202" t="s">
        <v>1329</v>
      </c>
      <c r="F494" s="202" t="s">
        <v>159</v>
      </c>
      <c r="G494" s="202"/>
      <c r="H494" s="202" t="s">
        <v>1330</v>
      </c>
      <c r="I494" s="202" t="s">
        <v>1126</v>
      </c>
      <c r="J494" s="223" t="str">
        <f t="shared" si="18"/>
        <v>TinPT Belitung Industri Sejahtera</v>
      </c>
      <c r="K494" s="223" t="str">
        <f t="shared" si="19"/>
        <v>TinPT Belitung Industri Sejahtera</v>
      </c>
    </row>
    <row r="495" spans="1:11">
      <c r="A495" s="202" t="s">
        <v>132</v>
      </c>
      <c r="B495" s="202" t="s">
        <v>1123</v>
      </c>
      <c r="C495" s="202" t="s">
        <v>1123</v>
      </c>
      <c r="D495" s="202" t="s">
        <v>748</v>
      </c>
      <c r="E495" s="202" t="s">
        <v>1124</v>
      </c>
      <c r="F495" s="202" t="s">
        <v>159</v>
      </c>
      <c r="G495" s="202"/>
      <c r="H495" s="202" t="s">
        <v>1125</v>
      </c>
      <c r="I495" s="202" t="s">
        <v>1126</v>
      </c>
      <c r="J495" s="223" t="str">
        <f t="shared" si="18"/>
        <v>TinPT Bukit Timah</v>
      </c>
      <c r="K495" s="223" t="str">
        <f t="shared" si="19"/>
        <v>TinPT Bukit Timah</v>
      </c>
    </row>
    <row r="496" spans="1:11">
      <c r="A496" s="202" t="s">
        <v>132</v>
      </c>
      <c r="B496" s="202" t="s">
        <v>1331</v>
      </c>
      <c r="C496" s="202" t="s">
        <v>1331</v>
      </c>
      <c r="D496" s="202" t="s">
        <v>748</v>
      </c>
      <c r="E496" s="202" t="s">
        <v>1332</v>
      </c>
      <c r="F496" s="202" t="s">
        <v>159</v>
      </c>
      <c r="G496" s="202"/>
      <c r="H496" s="202" t="s">
        <v>1333</v>
      </c>
      <c r="I496" s="202" t="s">
        <v>1334</v>
      </c>
      <c r="J496" s="223" t="str">
        <f t="shared" si="18"/>
        <v>TinPT Cipta Persada Mulia</v>
      </c>
      <c r="K496" s="223" t="str">
        <f t="shared" si="19"/>
        <v>TinPT Cipta Persada Mulia</v>
      </c>
    </row>
    <row r="497" spans="1:11">
      <c r="A497" s="202" t="s">
        <v>132</v>
      </c>
      <c r="B497" s="202" t="s">
        <v>1335</v>
      </c>
      <c r="C497" s="202" t="s">
        <v>1123</v>
      </c>
      <c r="D497" s="202" t="s">
        <v>748</v>
      </c>
      <c r="E497" s="202" t="s">
        <v>1124</v>
      </c>
      <c r="F497" s="202" t="s">
        <v>159</v>
      </c>
      <c r="G497" s="202"/>
      <c r="H497" s="202" t="s">
        <v>1125</v>
      </c>
      <c r="I497" s="202" t="s">
        <v>1126</v>
      </c>
      <c r="J497" s="223" t="str">
        <f t="shared" si="18"/>
        <v>TinPT Indora Ermulti</v>
      </c>
      <c r="K497" s="223" t="str">
        <f t="shared" si="19"/>
        <v>TinPT Indora Ermulti</v>
      </c>
    </row>
    <row r="498" spans="1:11">
      <c r="A498" s="202" t="s">
        <v>132</v>
      </c>
      <c r="B498" s="202" t="s">
        <v>1336</v>
      </c>
      <c r="C498" s="202" t="s">
        <v>1123</v>
      </c>
      <c r="D498" s="202" t="s">
        <v>748</v>
      </c>
      <c r="E498" s="202" t="s">
        <v>1124</v>
      </c>
      <c r="F498" s="202" t="s">
        <v>159</v>
      </c>
      <c r="G498" s="202"/>
      <c r="H498" s="202" t="s">
        <v>1125</v>
      </c>
      <c r="I498" s="202" t="s">
        <v>1126</v>
      </c>
      <c r="J498" s="223" t="str">
        <f t="shared" si="18"/>
        <v>TinPT Indra Eramult Logam Industri</v>
      </c>
      <c r="K498" s="223" t="str">
        <f t="shared" si="19"/>
        <v>TinPT Indra Eramult Logam Industri</v>
      </c>
    </row>
    <row r="499" spans="1:11">
      <c r="A499" s="202" t="s">
        <v>132</v>
      </c>
      <c r="B499" s="202" t="s">
        <v>1337</v>
      </c>
      <c r="C499" s="202" t="s">
        <v>1337</v>
      </c>
      <c r="D499" s="202" t="s">
        <v>748</v>
      </c>
      <c r="E499" s="202" t="s">
        <v>1338</v>
      </c>
      <c r="F499" s="202" t="s">
        <v>159</v>
      </c>
      <c r="G499" s="202"/>
      <c r="H499" s="202" t="s">
        <v>1339</v>
      </c>
      <c r="I499" s="202" t="s">
        <v>1126</v>
      </c>
      <c r="J499" s="223" t="str">
        <f t="shared" si="18"/>
        <v>TinPT Menara Cipta Mulia</v>
      </c>
      <c r="K499" s="223" t="str">
        <f t="shared" si="19"/>
        <v>TinPT Menara Cipta Mulia</v>
      </c>
    </row>
    <row r="500" spans="1:11">
      <c r="A500" s="202" t="s">
        <v>132</v>
      </c>
      <c r="B500" s="202" t="s">
        <v>1340</v>
      </c>
      <c r="C500" s="202" t="s">
        <v>1340</v>
      </c>
      <c r="D500" s="202" t="s">
        <v>748</v>
      </c>
      <c r="E500" s="202" t="s">
        <v>1341</v>
      </c>
      <c r="F500" s="202" t="s">
        <v>159</v>
      </c>
      <c r="G500" s="202"/>
      <c r="H500" s="202" t="s">
        <v>1130</v>
      </c>
      <c r="I500" s="202" t="s">
        <v>1126</v>
      </c>
      <c r="J500" s="223" t="str">
        <f t="shared" si="18"/>
        <v>TinPT Mitra Stania Prima</v>
      </c>
      <c r="K500" s="223" t="str">
        <f t="shared" si="19"/>
        <v>TinPT Mitra Stania Prima</v>
      </c>
    </row>
    <row r="501" spans="1:11">
      <c r="A501" s="202" t="s">
        <v>132</v>
      </c>
      <c r="B501" s="202" t="s">
        <v>1342</v>
      </c>
      <c r="C501" s="202" t="s">
        <v>1342</v>
      </c>
      <c r="D501" s="202" t="s">
        <v>748</v>
      </c>
      <c r="E501" s="202" t="s">
        <v>1343</v>
      </c>
      <c r="F501" s="202" t="s">
        <v>159</v>
      </c>
      <c r="G501" s="202"/>
      <c r="H501" s="202" t="s">
        <v>1325</v>
      </c>
      <c r="I501" s="202" t="s">
        <v>1126</v>
      </c>
      <c r="J501" s="223" t="str">
        <f t="shared" si="18"/>
        <v>TinPT Mitra Sukses Globalindo</v>
      </c>
      <c r="K501" s="223" t="str">
        <f t="shared" si="19"/>
        <v>TinPT Mitra Sukses Globalindo</v>
      </c>
    </row>
    <row r="502" spans="1:11">
      <c r="A502" s="202" t="s">
        <v>132</v>
      </c>
      <c r="B502" s="202" t="s">
        <v>1344</v>
      </c>
      <c r="C502" s="202" t="s">
        <v>1344</v>
      </c>
      <c r="D502" s="202" t="s">
        <v>748</v>
      </c>
      <c r="E502" s="202" t="s">
        <v>1345</v>
      </c>
      <c r="F502" s="202" t="s">
        <v>159</v>
      </c>
      <c r="G502" s="202"/>
      <c r="H502" s="202" t="s">
        <v>1130</v>
      </c>
      <c r="I502" s="202" t="s">
        <v>1126</v>
      </c>
      <c r="J502" s="223" t="str">
        <f t="shared" si="18"/>
        <v>TinPT Panca Mega Persada</v>
      </c>
      <c r="K502" s="223" t="str">
        <f t="shared" si="19"/>
        <v>TinPT Panca Mega Persada</v>
      </c>
    </row>
    <row r="503" spans="1:11">
      <c r="A503" s="202" t="s">
        <v>132</v>
      </c>
      <c r="B503" s="202" t="s">
        <v>1168</v>
      </c>
      <c r="C503" s="202" t="s">
        <v>1168</v>
      </c>
      <c r="D503" s="202" t="s">
        <v>748</v>
      </c>
      <c r="E503" s="202" t="s">
        <v>1169</v>
      </c>
      <c r="F503" s="202" t="s">
        <v>159</v>
      </c>
      <c r="G503" s="202"/>
      <c r="H503" s="202" t="s">
        <v>1170</v>
      </c>
      <c r="I503" s="202" t="s">
        <v>1126</v>
      </c>
      <c r="J503" s="223" t="str">
        <f t="shared" si="18"/>
        <v>TinPT Premium Tin Indonesia</v>
      </c>
      <c r="K503" s="223" t="str">
        <f t="shared" si="19"/>
        <v>TinPT Premium Tin Indonesia</v>
      </c>
    </row>
    <row r="504" spans="1:11">
      <c r="A504" s="202" t="s">
        <v>132</v>
      </c>
      <c r="B504" s="202" t="s">
        <v>1346</v>
      </c>
      <c r="C504" s="202" t="s">
        <v>1346</v>
      </c>
      <c r="D504" s="202" t="s">
        <v>748</v>
      </c>
      <c r="E504" s="202" t="s">
        <v>1347</v>
      </c>
      <c r="F504" s="202" t="s">
        <v>159</v>
      </c>
      <c r="G504" s="202"/>
      <c r="H504" s="202" t="s">
        <v>1125</v>
      </c>
      <c r="I504" s="202" t="s">
        <v>1126</v>
      </c>
      <c r="J504" s="223" t="str">
        <f t="shared" si="18"/>
        <v>TinPT Prima Timah Utama</v>
      </c>
      <c r="K504" s="223" t="str">
        <f t="shared" si="19"/>
        <v>TinPT Prima Timah Utama</v>
      </c>
    </row>
    <row r="505" spans="1:11">
      <c r="A505" s="202" t="s">
        <v>132</v>
      </c>
      <c r="B505" s="202" t="s">
        <v>1348</v>
      </c>
      <c r="C505" s="202" t="s">
        <v>1348</v>
      </c>
      <c r="D505" s="202" t="s">
        <v>748</v>
      </c>
      <c r="E505" s="202" t="s">
        <v>1349</v>
      </c>
      <c r="F505" s="202" t="s">
        <v>159</v>
      </c>
      <c r="G505" s="202"/>
      <c r="H505" s="202" t="s">
        <v>1130</v>
      </c>
      <c r="I505" s="202" t="s">
        <v>1126</v>
      </c>
      <c r="J505" s="223" t="str">
        <f t="shared" si="18"/>
        <v>TinPT Putera Sarana Shakti (PT PSS)</v>
      </c>
      <c r="K505" s="223" t="str">
        <f t="shared" si="19"/>
        <v>TinPT Putera Sarana Shakti (PT PSS)</v>
      </c>
    </row>
    <row r="506" spans="1:11">
      <c r="A506" s="202" t="s">
        <v>132</v>
      </c>
      <c r="B506" s="202" t="s">
        <v>1350</v>
      </c>
      <c r="C506" s="202" t="s">
        <v>1350</v>
      </c>
      <c r="D506" s="202" t="s">
        <v>748</v>
      </c>
      <c r="E506" s="202" t="s">
        <v>1351</v>
      </c>
      <c r="F506" s="202" t="s">
        <v>159</v>
      </c>
      <c r="G506" s="202"/>
      <c r="H506" s="202" t="s">
        <v>1352</v>
      </c>
      <c r="I506" s="202" t="s">
        <v>1126</v>
      </c>
      <c r="J506" s="223" t="str">
        <f t="shared" si="18"/>
        <v>TinPT Rajawali Rimba Perkasa</v>
      </c>
      <c r="K506" s="223" t="str">
        <f t="shared" si="19"/>
        <v>TinPT Rajawali Rimba Perkasa</v>
      </c>
    </row>
    <row r="507" spans="1:11">
      <c r="A507" s="202" t="s">
        <v>132</v>
      </c>
      <c r="B507" s="202" t="s">
        <v>1128</v>
      </c>
      <c r="C507" s="202" t="s">
        <v>1128</v>
      </c>
      <c r="D507" s="202" t="s">
        <v>748</v>
      </c>
      <c r="E507" s="202" t="s">
        <v>1129</v>
      </c>
      <c r="F507" s="202" t="s">
        <v>159</v>
      </c>
      <c r="G507" s="202"/>
      <c r="H507" s="202" t="s">
        <v>1130</v>
      </c>
      <c r="I507" s="202" t="s">
        <v>1126</v>
      </c>
      <c r="J507" s="223" t="str">
        <f t="shared" si="18"/>
        <v>TinPT Refined Bangka Tin</v>
      </c>
      <c r="K507" s="223" t="str">
        <f t="shared" si="19"/>
        <v>TinPT Refined Bangka Tin</v>
      </c>
    </row>
    <row r="508" spans="1:11">
      <c r="A508" s="202" t="s">
        <v>132</v>
      </c>
      <c r="B508" s="202" t="s">
        <v>1353</v>
      </c>
      <c r="C508" s="202" t="s">
        <v>1353</v>
      </c>
      <c r="D508" s="202" t="s">
        <v>748</v>
      </c>
      <c r="E508" s="202" t="s">
        <v>1354</v>
      </c>
      <c r="F508" s="202" t="s">
        <v>159</v>
      </c>
      <c r="G508" s="202"/>
      <c r="H508" s="202" t="s">
        <v>1125</v>
      </c>
      <c r="I508" s="202" t="s">
        <v>1126</v>
      </c>
      <c r="J508" s="223" t="str">
        <f t="shared" si="18"/>
        <v>TinPT Sariwiguna Binasentosa</v>
      </c>
      <c r="K508" s="223" t="str">
        <f t="shared" si="19"/>
        <v>TinPT Sariwiguna Binasentosa</v>
      </c>
    </row>
    <row r="509" spans="1:11">
      <c r="A509" s="202" t="s">
        <v>132</v>
      </c>
      <c r="B509" s="202" t="s">
        <v>1355</v>
      </c>
      <c r="C509" s="202" t="s">
        <v>1355</v>
      </c>
      <c r="D509" s="202" t="s">
        <v>748</v>
      </c>
      <c r="E509" s="202" t="s">
        <v>1356</v>
      </c>
      <c r="F509" s="202" t="s">
        <v>159</v>
      </c>
      <c r="G509" s="202"/>
      <c r="H509" s="202" t="s">
        <v>1125</v>
      </c>
      <c r="I509" s="202" t="s">
        <v>1126</v>
      </c>
      <c r="J509" s="223" t="str">
        <f t="shared" si="18"/>
        <v>TinPT Stanindo Inti Perkasa</v>
      </c>
      <c r="K509" s="223" t="str">
        <f t="shared" si="19"/>
        <v>TinPT Stanindo Inti Perkasa</v>
      </c>
    </row>
    <row r="510" spans="1:11">
      <c r="A510" s="202" t="s">
        <v>132</v>
      </c>
      <c r="B510" s="202" t="s">
        <v>1357</v>
      </c>
      <c r="C510" s="202" t="s">
        <v>1357</v>
      </c>
      <c r="D510" s="202" t="s">
        <v>748</v>
      </c>
      <c r="E510" s="202" t="s">
        <v>1358</v>
      </c>
      <c r="F510" s="202" t="s">
        <v>159</v>
      </c>
      <c r="G510" s="202"/>
      <c r="H510" s="202" t="s">
        <v>1330</v>
      </c>
      <c r="I510" s="202" t="s">
        <v>1126</v>
      </c>
      <c r="J510" s="223" t="str">
        <f t="shared" si="18"/>
        <v>TinPT Sukses Inti Makmur</v>
      </c>
      <c r="K510" s="223" t="str">
        <f t="shared" si="19"/>
        <v>TinPT Sukses Inti Makmur</v>
      </c>
    </row>
    <row r="511" spans="1:11">
      <c r="A511" s="202" t="s">
        <v>132</v>
      </c>
      <c r="B511" s="202" t="s">
        <v>1359</v>
      </c>
      <c r="C511" s="202" t="s">
        <v>1253</v>
      </c>
      <c r="D511" s="202" t="s">
        <v>748</v>
      </c>
      <c r="E511" s="202" t="s">
        <v>1254</v>
      </c>
      <c r="F511" s="202" t="s">
        <v>159</v>
      </c>
      <c r="G511" s="202"/>
      <c r="H511" s="202" t="s">
        <v>1255</v>
      </c>
      <c r="I511" s="202" t="s">
        <v>1256</v>
      </c>
      <c r="J511" s="223" t="str">
        <f t="shared" si="18"/>
        <v>TinPT Tambang Timah</v>
      </c>
      <c r="K511" s="223" t="str">
        <f t="shared" si="19"/>
        <v>TinPT Tambang Timah</v>
      </c>
    </row>
    <row r="512" spans="1:11">
      <c r="A512" s="202" t="s">
        <v>132</v>
      </c>
      <c r="B512" s="202" t="s">
        <v>1360</v>
      </c>
      <c r="C512" s="202" t="s">
        <v>1360</v>
      </c>
      <c r="D512" s="202" t="s">
        <v>748</v>
      </c>
      <c r="E512" s="202" t="s">
        <v>1361</v>
      </c>
      <c r="F512" s="202" t="s">
        <v>159</v>
      </c>
      <c r="G512" s="202"/>
      <c r="H512" s="202" t="s">
        <v>1362</v>
      </c>
      <c r="I512" s="202" t="s">
        <v>1126</v>
      </c>
      <c r="J512" s="223" t="str">
        <f t="shared" si="18"/>
        <v>TinPT Timah Nusantara</v>
      </c>
      <c r="K512" s="223" t="str">
        <f t="shared" si="19"/>
        <v>TinPT Timah Nusantara</v>
      </c>
    </row>
    <row r="513" spans="1:11">
      <c r="A513" s="202" t="s">
        <v>132</v>
      </c>
      <c r="B513" s="202" t="s">
        <v>1253</v>
      </c>
      <c r="C513" s="202" t="s">
        <v>1253</v>
      </c>
      <c r="D513" s="202" t="s">
        <v>748</v>
      </c>
      <c r="E513" s="202" t="s">
        <v>1254</v>
      </c>
      <c r="F513" s="202" t="s">
        <v>159</v>
      </c>
      <c r="G513" s="202"/>
      <c r="H513" s="202" t="s">
        <v>1255</v>
      </c>
      <c r="I513" s="202" t="s">
        <v>1256</v>
      </c>
      <c r="J513" s="223" t="str">
        <f t="shared" si="18"/>
        <v>TinPT Timah Tbk Kundur</v>
      </c>
      <c r="K513" s="223" t="str">
        <f t="shared" si="19"/>
        <v>TinPT Timah Tbk Kundur</v>
      </c>
    </row>
    <row r="514" spans="1:11">
      <c r="A514" s="202" t="s">
        <v>132</v>
      </c>
      <c r="B514" s="202" t="s">
        <v>1241</v>
      </c>
      <c r="C514" s="202" t="s">
        <v>1241</v>
      </c>
      <c r="D514" s="202" t="s">
        <v>748</v>
      </c>
      <c r="E514" s="202" t="s">
        <v>1242</v>
      </c>
      <c r="F514" s="202" t="s">
        <v>159</v>
      </c>
      <c r="G514" s="202"/>
      <c r="H514" s="202" t="s">
        <v>1243</v>
      </c>
      <c r="I514" s="202" t="s">
        <v>1126</v>
      </c>
      <c r="J514" s="223" t="str">
        <f t="shared" si="18"/>
        <v>TinPT Timah Tbk Mentok</v>
      </c>
      <c r="K514" s="223" t="str">
        <f t="shared" si="19"/>
        <v>TinPT Timah Tbk Mentok</v>
      </c>
    </row>
    <row r="515" spans="1:11">
      <c r="A515" s="202" t="s">
        <v>132</v>
      </c>
      <c r="B515" s="202" t="s">
        <v>1363</v>
      </c>
      <c r="C515" s="202" t="s">
        <v>1363</v>
      </c>
      <c r="D515" s="202" t="s">
        <v>748</v>
      </c>
      <c r="E515" s="202" t="s">
        <v>1364</v>
      </c>
      <c r="F515" s="202" t="s">
        <v>159</v>
      </c>
      <c r="G515" s="202"/>
      <c r="H515" s="202" t="s">
        <v>1125</v>
      </c>
      <c r="I515" s="202" t="s">
        <v>1126</v>
      </c>
      <c r="J515" s="223" t="str">
        <f t="shared" si="18"/>
        <v>TinPT Tinindo Inter Nusa</v>
      </c>
      <c r="K515" s="223" t="str">
        <f t="shared" si="19"/>
        <v>TinPT Tinindo Inter Nusa</v>
      </c>
    </row>
    <row r="516" spans="1:11">
      <c r="A516" s="202" t="s">
        <v>132</v>
      </c>
      <c r="B516" s="202" t="s">
        <v>1365</v>
      </c>
      <c r="C516" s="202" t="s">
        <v>1365</v>
      </c>
      <c r="D516" s="202" t="s">
        <v>748</v>
      </c>
      <c r="E516" s="202" t="s">
        <v>1366</v>
      </c>
      <c r="F516" s="202" t="s">
        <v>159</v>
      </c>
      <c r="G516" s="202"/>
      <c r="H516" s="202" t="s">
        <v>1367</v>
      </c>
      <c r="I516" s="202" t="s">
        <v>1368</v>
      </c>
      <c r="J516" s="223" t="str">
        <f t="shared" si="18"/>
        <v>TinPT Tirus Putra Mandiri</v>
      </c>
      <c r="K516" s="223" t="str">
        <f t="shared" si="19"/>
        <v>TinPT Tirus Putra Mandiri</v>
      </c>
    </row>
    <row r="517" spans="1:11">
      <c r="A517" s="202" t="s">
        <v>132</v>
      </c>
      <c r="B517" s="202" t="s">
        <v>1369</v>
      </c>
      <c r="C517" s="202" t="s">
        <v>1369</v>
      </c>
      <c r="D517" s="202" t="s">
        <v>748</v>
      </c>
      <c r="E517" s="202" t="s">
        <v>1370</v>
      </c>
      <c r="F517" s="202" t="s">
        <v>159</v>
      </c>
      <c r="G517" s="202"/>
      <c r="H517" s="202" t="s">
        <v>1371</v>
      </c>
      <c r="I517" s="202" t="s">
        <v>1126</v>
      </c>
      <c r="J517" s="223" t="str">
        <f t="shared" si="18"/>
        <v>TinPT Tommy Utama</v>
      </c>
      <c r="K517" s="223" t="str">
        <f t="shared" si="19"/>
        <v>TinPT Tommy Utama</v>
      </c>
    </row>
    <row r="518" spans="1:11">
      <c r="A518" s="202" t="s">
        <v>132</v>
      </c>
      <c r="B518" s="202" t="s">
        <v>1070</v>
      </c>
      <c r="C518" s="202" t="s">
        <v>1071</v>
      </c>
      <c r="D518" s="202" t="s">
        <v>230</v>
      </c>
      <c r="E518" s="202" t="s">
        <v>1372</v>
      </c>
      <c r="F518" s="202" t="s">
        <v>159</v>
      </c>
      <c r="G518" s="202"/>
      <c r="H518" s="202" t="s">
        <v>967</v>
      </c>
      <c r="I518" s="202" t="s">
        <v>1073</v>
      </c>
      <c r="J518" s="223" t="str">
        <f t="shared" ref="J518:J583" si="20">A518&amp;B518</f>
        <v>TinResind Ind e Com Ltda.</v>
      </c>
      <c r="K518" s="223" t="str">
        <f t="shared" ref="K518:K583" si="21">A518&amp;B518</f>
        <v>TinResind Ind e Com Ltda.</v>
      </c>
    </row>
    <row r="519" spans="1:11">
      <c r="A519" s="202" t="s">
        <v>132</v>
      </c>
      <c r="B519" s="202" t="s">
        <v>1071</v>
      </c>
      <c r="C519" s="202" t="s">
        <v>1071</v>
      </c>
      <c r="D519" s="202" t="s">
        <v>230</v>
      </c>
      <c r="E519" s="202" t="s">
        <v>1372</v>
      </c>
      <c r="F519" s="202" t="s">
        <v>159</v>
      </c>
      <c r="G519" s="202"/>
      <c r="H519" s="202" t="s">
        <v>967</v>
      </c>
      <c r="I519" s="202" t="s">
        <v>1073</v>
      </c>
      <c r="J519" s="223" t="str">
        <f t="shared" si="20"/>
        <v>TinResind Industria e Comercio Ltda.</v>
      </c>
      <c r="K519" s="223" t="str">
        <f t="shared" si="21"/>
        <v>TinResind Industria e Comercio Ltda.</v>
      </c>
    </row>
    <row r="520" spans="1:11">
      <c r="A520" s="202" t="s">
        <v>132</v>
      </c>
      <c r="B520" s="202" t="s">
        <v>1074</v>
      </c>
      <c r="C520" s="202" t="s">
        <v>1071</v>
      </c>
      <c r="D520" s="202" t="s">
        <v>230</v>
      </c>
      <c r="E520" s="202" t="s">
        <v>1372</v>
      </c>
      <c r="F520" s="202" t="s">
        <v>159</v>
      </c>
      <c r="G520" s="202"/>
      <c r="H520" s="202" t="s">
        <v>967</v>
      </c>
      <c r="I520" s="202" t="s">
        <v>1073</v>
      </c>
      <c r="J520" s="223" t="str">
        <f t="shared" si="20"/>
        <v>TinResind Indústria e Comércio Ltda.</v>
      </c>
      <c r="K520" s="223" t="str">
        <f t="shared" si="21"/>
        <v>TinResind Indústria e Comércio Ltda.</v>
      </c>
    </row>
    <row r="521" spans="1:11">
      <c r="A521" s="202" t="s">
        <v>132</v>
      </c>
      <c r="B521" s="202" t="s">
        <v>1373</v>
      </c>
      <c r="C521" s="202" t="s">
        <v>1373</v>
      </c>
      <c r="D521" s="202" t="s">
        <v>858</v>
      </c>
      <c r="E521" s="202" t="s">
        <v>1374</v>
      </c>
      <c r="F521" s="202" t="s">
        <v>159</v>
      </c>
      <c r="G521" s="202"/>
      <c r="H521" s="202" t="s">
        <v>1375</v>
      </c>
      <c r="I521" s="182" t="s">
        <v>861</v>
      </c>
      <c r="J521" s="223" t="str">
        <f t="shared" si="20"/>
        <v>TinRui Da Hung</v>
      </c>
      <c r="K521" s="223" t="str">
        <f t="shared" si="21"/>
        <v>TinRui Da Hung</v>
      </c>
    </row>
    <row r="522" spans="1:11">
      <c r="A522" s="202" t="s">
        <v>132</v>
      </c>
      <c r="B522" s="202" t="s">
        <v>1376</v>
      </c>
      <c r="C522" s="202" t="s">
        <v>1148</v>
      </c>
      <c r="D522" s="202" t="s">
        <v>237</v>
      </c>
      <c r="E522" s="202" t="s">
        <v>1149</v>
      </c>
      <c r="F522" s="202" t="s">
        <v>159</v>
      </c>
      <c r="G522" s="202"/>
      <c r="H522" s="202" t="s">
        <v>1134</v>
      </c>
      <c r="I522" s="182" t="s">
        <v>328</v>
      </c>
      <c r="J522" s="223" t="str">
        <f t="shared" si="20"/>
        <v>TinSmelting Branch of Yunnan Tin Company Ltd</v>
      </c>
      <c r="K522" s="223" t="str">
        <f t="shared" si="21"/>
        <v>TinSmelting Branch of Yunnan Tin Company Ltd</v>
      </c>
    </row>
    <row r="523" spans="1:11">
      <c r="A523" s="202" t="s">
        <v>132</v>
      </c>
      <c r="B523" s="202" t="s">
        <v>1377</v>
      </c>
      <c r="C523" s="202" t="s">
        <v>1377</v>
      </c>
      <c r="D523" s="202" t="s">
        <v>230</v>
      </c>
      <c r="E523" s="202" t="s">
        <v>1378</v>
      </c>
      <c r="F523" s="202" t="s">
        <v>159</v>
      </c>
      <c r="G523" s="202"/>
      <c r="H523" s="202" t="s">
        <v>1379</v>
      </c>
      <c r="I523" s="182" t="s">
        <v>615</v>
      </c>
      <c r="J523" s="223" t="str">
        <f t="shared" si="20"/>
        <v>TinSuper Ligas</v>
      </c>
      <c r="K523" s="223" t="str">
        <f t="shared" si="21"/>
        <v>TinSuper Ligas</v>
      </c>
    </row>
    <row r="524" spans="1:11">
      <c r="A524" s="202" t="s">
        <v>132</v>
      </c>
      <c r="B524" s="202" t="s">
        <v>1380</v>
      </c>
      <c r="C524" s="202" t="s">
        <v>1381</v>
      </c>
      <c r="D524" s="202" t="s">
        <v>920</v>
      </c>
      <c r="E524" s="202" t="s">
        <v>1382</v>
      </c>
      <c r="F524" s="202" t="s">
        <v>159</v>
      </c>
      <c r="G524" s="202"/>
      <c r="H524" s="202" t="s">
        <v>1383</v>
      </c>
      <c r="I524" s="182" t="s">
        <v>1384</v>
      </c>
      <c r="J524" s="223" t="str">
        <f t="shared" si="20"/>
        <v>TinThai Solder Industry Corp., Ltd.</v>
      </c>
      <c r="K524" s="223" t="str">
        <f t="shared" si="21"/>
        <v>TinThai Solder Industry Corp., Ltd.</v>
      </c>
    </row>
    <row r="525" spans="1:11">
      <c r="A525" s="202" t="s">
        <v>132</v>
      </c>
      <c r="B525" s="202" t="s">
        <v>1385</v>
      </c>
      <c r="C525" s="202" t="s">
        <v>1381</v>
      </c>
      <c r="D525" s="202" t="s">
        <v>920</v>
      </c>
      <c r="E525" s="202" t="s">
        <v>1382</v>
      </c>
      <c r="F525" s="202" t="s">
        <v>159</v>
      </c>
      <c r="G525" s="202"/>
      <c r="H525" s="202" t="s">
        <v>1383</v>
      </c>
      <c r="I525" s="202" t="s">
        <v>1384</v>
      </c>
      <c r="J525" s="223" t="str">
        <f t="shared" si="20"/>
        <v>TinThailand Smelting &amp; Refining Co Ltd</v>
      </c>
      <c r="K525" s="223" t="str">
        <f t="shared" si="21"/>
        <v>TinThailand Smelting &amp; Refining Co Ltd</v>
      </c>
    </row>
    <row r="526" spans="1:11">
      <c r="A526" s="202" t="s">
        <v>132</v>
      </c>
      <c r="B526" s="202" t="s">
        <v>1381</v>
      </c>
      <c r="C526" s="202" t="s">
        <v>1381</v>
      </c>
      <c r="D526" s="202" t="s">
        <v>920</v>
      </c>
      <c r="E526" s="202" t="s">
        <v>1382</v>
      </c>
      <c r="F526" s="202" t="s">
        <v>159</v>
      </c>
      <c r="G526" s="202"/>
      <c r="H526" s="202" t="s">
        <v>1383</v>
      </c>
      <c r="I526" s="202" t="s">
        <v>1384</v>
      </c>
      <c r="J526" s="223" t="str">
        <f t="shared" si="20"/>
        <v>TinThaisarco</v>
      </c>
      <c r="K526" s="223" t="str">
        <f t="shared" si="21"/>
        <v>TinThaisarco</v>
      </c>
    </row>
    <row r="527" spans="1:11">
      <c r="A527" s="202" t="s">
        <v>132</v>
      </c>
      <c r="B527" s="202" t="s">
        <v>1386</v>
      </c>
      <c r="C527" s="202" t="s">
        <v>1221</v>
      </c>
      <c r="D527" s="202" t="s">
        <v>237</v>
      </c>
      <c r="E527" s="202" t="s">
        <v>1222</v>
      </c>
      <c r="F527" s="202" t="s">
        <v>159</v>
      </c>
      <c r="G527" s="202"/>
      <c r="H527" s="202" t="s">
        <v>1134</v>
      </c>
      <c r="I527" s="202" t="s">
        <v>328</v>
      </c>
      <c r="J527" s="223" t="str">
        <f t="shared" si="20"/>
        <v>TinThe Gejiu cloud new colored electrolytic</v>
      </c>
      <c r="K527" s="223" t="str">
        <f t="shared" si="21"/>
        <v>TinThe Gejiu cloud new colored electrolytic</v>
      </c>
    </row>
    <row r="528" spans="1:11">
      <c r="A528" s="202" t="s">
        <v>132</v>
      </c>
      <c r="B528" s="202" t="s">
        <v>1387</v>
      </c>
      <c r="C528" s="202" t="s">
        <v>1148</v>
      </c>
      <c r="D528" s="202" t="s">
        <v>237</v>
      </c>
      <c r="E528" s="202" t="s">
        <v>1149</v>
      </c>
      <c r="F528" s="202" t="s">
        <v>159</v>
      </c>
      <c r="G528" s="202"/>
      <c r="H528" s="202" t="s">
        <v>1134</v>
      </c>
      <c r="I528" s="202" t="s">
        <v>328</v>
      </c>
      <c r="J528" s="223" t="str">
        <f t="shared" si="20"/>
        <v>TinTin Products Manufacturing Co.LTD. of YTCL</v>
      </c>
      <c r="K528" s="223" t="str">
        <f t="shared" si="21"/>
        <v>TinTin Products Manufacturing Co.LTD. of YTCL</v>
      </c>
    </row>
    <row r="529" spans="1:11">
      <c r="A529" s="202" t="s">
        <v>132</v>
      </c>
      <c r="B529" s="202" t="s">
        <v>1148</v>
      </c>
      <c r="C529" s="202" t="s">
        <v>1148</v>
      </c>
      <c r="D529" s="202" t="s">
        <v>237</v>
      </c>
      <c r="E529" s="202" t="s">
        <v>1149</v>
      </c>
      <c r="F529" s="202" t="s">
        <v>159</v>
      </c>
      <c r="G529" s="202"/>
      <c r="H529" s="202" t="s">
        <v>1134</v>
      </c>
      <c r="I529" s="202" t="s">
        <v>328</v>
      </c>
      <c r="J529" s="223" t="str">
        <f t="shared" si="20"/>
        <v>TinTin Smelting Branch of Yunnan Tin Co., Ltd.</v>
      </c>
      <c r="K529" s="223" t="str">
        <f t="shared" si="21"/>
        <v>TinTin Smelting Branch of Yunnan Tin Co., Ltd.</v>
      </c>
    </row>
    <row r="530" spans="1:11">
      <c r="A530" s="202" t="s">
        <v>132</v>
      </c>
      <c r="B530" s="202" t="s">
        <v>1388</v>
      </c>
      <c r="C530" s="202" t="s">
        <v>1388</v>
      </c>
      <c r="D530" s="202" t="s">
        <v>168</v>
      </c>
      <c r="E530" s="202" t="s">
        <v>1389</v>
      </c>
      <c r="F530" s="202" t="s">
        <v>159</v>
      </c>
      <c r="G530" s="202"/>
      <c r="H530" s="202" t="s">
        <v>1390</v>
      </c>
      <c r="I530" s="202" t="s">
        <v>171</v>
      </c>
      <c r="J530" s="223" t="str">
        <f t="shared" si="20"/>
        <v>TinTin Technology &amp; Refining</v>
      </c>
      <c r="K530" s="223" t="str">
        <f t="shared" si="21"/>
        <v>TinTin Technology &amp; Refining</v>
      </c>
    </row>
    <row r="531" spans="1:11">
      <c r="A531" s="202" t="s">
        <v>132</v>
      </c>
      <c r="B531" s="202" t="s">
        <v>1391</v>
      </c>
      <c r="C531" s="202" t="s">
        <v>1042</v>
      </c>
      <c r="D531" s="202" t="s">
        <v>230</v>
      </c>
      <c r="E531" s="202" t="s">
        <v>1271</v>
      </c>
      <c r="F531" s="202" t="s">
        <v>159</v>
      </c>
      <c r="G531" s="202"/>
      <c r="H531" s="202" t="s">
        <v>1272</v>
      </c>
      <c r="I531" s="202" t="s">
        <v>615</v>
      </c>
      <c r="J531" s="223" t="str">
        <f t="shared" si="20"/>
        <v>TinToboca/ Paranapenema</v>
      </c>
      <c r="K531" s="223" t="str">
        <f t="shared" si="21"/>
        <v>TinToboca/ Paranapenema</v>
      </c>
    </row>
    <row r="532" spans="1:11">
      <c r="A532" s="202" t="s">
        <v>132</v>
      </c>
      <c r="B532" s="202" t="s">
        <v>1392</v>
      </c>
      <c r="C532" s="202" t="s">
        <v>1392</v>
      </c>
      <c r="D532" s="202" t="s">
        <v>1111</v>
      </c>
      <c r="E532" s="202" t="s">
        <v>1393</v>
      </c>
      <c r="F532" s="202" t="s">
        <v>159</v>
      </c>
      <c r="G532" s="202"/>
      <c r="H532" s="202" t="s">
        <v>1394</v>
      </c>
      <c r="I532" s="202" t="s">
        <v>1395</v>
      </c>
      <c r="J532" s="223" t="str">
        <f t="shared" si="20"/>
        <v>TinTuyen Quang Non-Ferrous Metals Joint Stock Company</v>
      </c>
      <c r="K532" s="223" t="str">
        <f t="shared" si="21"/>
        <v>TinTuyen Quang Non-Ferrous Metals Joint Stock Company</v>
      </c>
    </row>
    <row r="533" spans="1:11">
      <c r="A533" s="202" t="s">
        <v>132</v>
      </c>
      <c r="B533" s="202" t="s">
        <v>1396</v>
      </c>
      <c r="C533" s="202" t="s">
        <v>1253</v>
      </c>
      <c r="D533" s="202" t="s">
        <v>748</v>
      </c>
      <c r="E533" s="202" t="s">
        <v>1254</v>
      </c>
      <c r="F533" s="202" t="s">
        <v>159</v>
      </c>
      <c r="G533" s="202"/>
      <c r="H533" s="202" t="s">
        <v>1255</v>
      </c>
      <c r="I533" s="202" t="s">
        <v>1256</v>
      </c>
      <c r="J533" s="223" t="str">
        <f t="shared" si="20"/>
        <v>TinUnit Timah Kundur PT Tambang</v>
      </c>
      <c r="K533" s="223" t="str">
        <f t="shared" si="21"/>
        <v>TinUnit Timah Kundur PT Tambang</v>
      </c>
    </row>
    <row r="534" spans="1:11">
      <c r="A534" s="202" t="s">
        <v>132</v>
      </c>
      <c r="B534" s="202" t="s">
        <v>1274</v>
      </c>
      <c r="C534" s="202" t="s">
        <v>1274</v>
      </c>
      <c r="D534" s="202" t="s">
        <v>1111</v>
      </c>
      <c r="E534" s="202" t="s">
        <v>1275</v>
      </c>
      <c r="F534" s="202" t="s">
        <v>159</v>
      </c>
      <c r="G534" s="202"/>
      <c r="H534" s="202" t="s">
        <v>1276</v>
      </c>
      <c r="I534" s="182" t="s">
        <v>1277</v>
      </c>
      <c r="J534" s="223" t="str">
        <f t="shared" si="20"/>
        <v>TinVQB Mineral and Trading Group JSC</v>
      </c>
      <c r="K534" s="223" t="str">
        <f t="shared" si="21"/>
        <v>TinVQB Mineral and Trading Group JSC</v>
      </c>
    </row>
    <row r="535" spans="1:11">
      <c r="A535" s="202" t="s">
        <v>132</v>
      </c>
      <c r="B535" s="202" t="s">
        <v>1397</v>
      </c>
      <c r="C535" s="202" t="s">
        <v>1397</v>
      </c>
      <c r="D535" s="202" t="s">
        <v>230</v>
      </c>
      <c r="E535" s="202" t="s">
        <v>1398</v>
      </c>
      <c r="F535" s="202" t="s">
        <v>159</v>
      </c>
      <c r="G535" s="202"/>
      <c r="H535" s="202" t="s">
        <v>1195</v>
      </c>
      <c r="I535" s="182" t="s">
        <v>1196</v>
      </c>
      <c r="J535" s="223" t="str">
        <f t="shared" si="20"/>
        <v>TinWhite Solder Metalurgia e Mineracao Ltda.</v>
      </c>
      <c r="K535" s="223" t="str">
        <f t="shared" si="21"/>
        <v>TinWhite Solder Metalurgia e Mineracao Ltda.</v>
      </c>
    </row>
    <row r="536" spans="1:11">
      <c r="A536" s="202" t="s">
        <v>132</v>
      </c>
      <c r="B536" s="202" t="s">
        <v>1399</v>
      </c>
      <c r="C536" s="202" t="s">
        <v>1397</v>
      </c>
      <c r="D536" s="202" t="s">
        <v>230</v>
      </c>
      <c r="E536" s="202" t="s">
        <v>1398</v>
      </c>
      <c r="F536" s="202" t="s">
        <v>159</v>
      </c>
      <c r="G536" s="202"/>
      <c r="H536" s="202" t="s">
        <v>1195</v>
      </c>
      <c r="I536" s="202" t="s">
        <v>1196</v>
      </c>
      <c r="J536" s="223" t="str">
        <f t="shared" si="20"/>
        <v>TinWhite Solder Metalurgia e Mineração Ltda.</v>
      </c>
      <c r="K536" s="223" t="str">
        <f t="shared" si="21"/>
        <v>TinWhite Solder Metalurgia e Mineração Ltda.</v>
      </c>
    </row>
    <row r="537" spans="1:11">
      <c r="A537" s="202" t="s">
        <v>132</v>
      </c>
      <c r="B537" s="202" t="s">
        <v>1400</v>
      </c>
      <c r="C537" s="202" t="s">
        <v>1397</v>
      </c>
      <c r="D537" s="202" t="s">
        <v>230</v>
      </c>
      <c r="E537" s="202" t="s">
        <v>1398</v>
      </c>
      <c r="F537" s="202" t="s">
        <v>159</v>
      </c>
      <c r="G537" s="202"/>
      <c r="H537" s="202" t="s">
        <v>1195</v>
      </c>
      <c r="I537" s="202" t="s">
        <v>1196</v>
      </c>
      <c r="J537" s="223" t="str">
        <f t="shared" si="20"/>
        <v>TinWhite Solder Metalurgica</v>
      </c>
      <c r="K537" s="223" t="str">
        <f t="shared" si="21"/>
        <v>TinWhite Solder Metalurgica</v>
      </c>
    </row>
    <row r="538" spans="1:11">
      <c r="A538" s="202" t="s">
        <v>132</v>
      </c>
      <c r="B538" s="202" t="s">
        <v>1401</v>
      </c>
      <c r="C538" s="202" t="s">
        <v>1142</v>
      </c>
      <c r="D538" s="202" t="s">
        <v>237</v>
      </c>
      <c r="E538" s="202" t="s">
        <v>1143</v>
      </c>
      <c r="F538" s="202" t="s">
        <v>159</v>
      </c>
      <c r="G538" s="202"/>
      <c r="H538" s="202" t="s">
        <v>1144</v>
      </c>
      <c r="I538" s="202" t="s">
        <v>1145</v>
      </c>
      <c r="J538" s="223" t="str">
        <f t="shared" si="20"/>
        <v>TinXiHai - Liuzhou China Tin Group Co ltd</v>
      </c>
      <c r="K538" s="223" t="str">
        <f t="shared" si="21"/>
        <v>TinXiHai - Liuzhou China Tin Group Co ltd</v>
      </c>
    </row>
    <row r="539" spans="1:11">
      <c r="A539" s="202" t="s">
        <v>132</v>
      </c>
      <c r="B539" s="202" t="s">
        <v>1402</v>
      </c>
      <c r="C539" s="202" t="s">
        <v>1148</v>
      </c>
      <c r="D539" s="202" t="s">
        <v>237</v>
      </c>
      <c r="E539" s="202" t="s">
        <v>1149</v>
      </c>
      <c r="F539" s="202" t="s">
        <v>159</v>
      </c>
      <c r="G539" s="202"/>
      <c r="H539" s="202" t="s">
        <v>1134</v>
      </c>
      <c r="I539" s="202" t="s">
        <v>328</v>
      </c>
      <c r="J539" s="223" t="str">
        <f t="shared" si="20"/>
        <v>TinYTCL</v>
      </c>
      <c r="K539" s="223" t="str">
        <f t="shared" si="21"/>
        <v>TinYTCL</v>
      </c>
    </row>
    <row r="540" spans="1:11">
      <c r="A540" s="202" t="s">
        <v>132</v>
      </c>
      <c r="B540" s="202" t="s">
        <v>1403</v>
      </c>
      <c r="C540" s="202" t="s">
        <v>1221</v>
      </c>
      <c r="D540" s="202" t="s">
        <v>237</v>
      </c>
      <c r="E540" s="202" t="s">
        <v>1222</v>
      </c>
      <c r="F540" s="202" t="s">
        <v>159</v>
      </c>
      <c r="G540" s="202"/>
      <c r="H540" s="202" t="s">
        <v>1134</v>
      </c>
      <c r="I540" s="202" t="s">
        <v>328</v>
      </c>
      <c r="J540" s="223" t="str">
        <f t="shared" si="20"/>
        <v>TinYunan Gejiu Yunxin Electrolyze Limited</v>
      </c>
      <c r="K540" s="223" t="str">
        <f t="shared" si="21"/>
        <v>TinYunan Gejiu Yunxin Electrolyze Limited</v>
      </c>
    </row>
    <row r="541" spans="1:11">
      <c r="A541" s="202" t="s">
        <v>132</v>
      </c>
      <c r="B541" s="202" t="s">
        <v>1404</v>
      </c>
      <c r="C541" s="202" t="s">
        <v>1132</v>
      </c>
      <c r="D541" s="202" t="s">
        <v>237</v>
      </c>
      <c r="E541" s="202" t="s">
        <v>1133</v>
      </c>
      <c r="F541" s="202" t="s">
        <v>159</v>
      </c>
      <c r="G541" s="202"/>
      <c r="H541" s="202" t="s">
        <v>1134</v>
      </c>
      <c r="I541" s="202" t="s">
        <v>328</v>
      </c>
      <c r="J541" s="223" t="str">
        <f t="shared" si="20"/>
        <v>TinYunnan Adventure Co., Ltd.</v>
      </c>
      <c r="K541" s="223" t="str">
        <f t="shared" si="21"/>
        <v>TinYunnan Adventure Co., Ltd.</v>
      </c>
    </row>
    <row r="542" spans="1:11">
      <c r="A542" s="202" t="s">
        <v>132</v>
      </c>
      <c r="B542" s="202" t="s">
        <v>1405</v>
      </c>
      <c r="C542" s="202" t="s">
        <v>1132</v>
      </c>
      <c r="D542" s="202" t="s">
        <v>237</v>
      </c>
      <c r="E542" s="202" t="s">
        <v>1133</v>
      </c>
      <c r="F542" s="202" t="s">
        <v>159</v>
      </c>
      <c r="G542" s="202"/>
      <c r="H542" s="202" t="s">
        <v>1134</v>
      </c>
      <c r="I542" s="202" t="s">
        <v>328</v>
      </c>
      <c r="J542" s="223" t="str">
        <f t="shared" si="20"/>
        <v>TinYunnan Chengfeng</v>
      </c>
      <c r="K542" s="223" t="str">
        <f t="shared" si="21"/>
        <v>TinYunnan Chengfeng</v>
      </c>
    </row>
    <row r="543" spans="1:11">
      <c r="A543" s="202" t="s">
        <v>132</v>
      </c>
      <c r="B543" s="202" t="s">
        <v>1132</v>
      </c>
      <c r="C543" s="202" t="s">
        <v>1132</v>
      </c>
      <c r="D543" s="202" t="s">
        <v>237</v>
      </c>
      <c r="E543" s="202" t="s">
        <v>1133</v>
      </c>
      <c r="F543" s="202" t="s">
        <v>159</v>
      </c>
      <c r="G543" s="202"/>
      <c r="H543" s="202" t="s">
        <v>1134</v>
      </c>
      <c r="I543" s="202" t="s">
        <v>328</v>
      </c>
      <c r="J543" s="223" t="str">
        <f t="shared" si="20"/>
        <v>TinYunnan Chengfeng Non-ferrous Metals Co., Ltd.</v>
      </c>
      <c r="K543" s="223" t="str">
        <f t="shared" si="21"/>
        <v>TinYunnan Chengfeng Non-ferrous Metals Co., Ltd.</v>
      </c>
    </row>
    <row r="544" spans="1:11">
      <c r="A544" s="202" t="s">
        <v>132</v>
      </c>
      <c r="B544" s="202" t="s">
        <v>1406</v>
      </c>
      <c r="C544" s="202" t="s">
        <v>1221</v>
      </c>
      <c r="D544" s="202" t="s">
        <v>237</v>
      </c>
      <c r="E544" s="202" t="s">
        <v>1222</v>
      </c>
      <c r="F544" s="202" t="s">
        <v>159</v>
      </c>
      <c r="G544" s="202"/>
      <c r="H544" s="202" t="s">
        <v>1134</v>
      </c>
      <c r="I544" s="202" t="s">
        <v>328</v>
      </c>
      <c r="J544" s="223" t="str">
        <f t="shared" si="20"/>
        <v>TinYunNan Gejiu Yunxin Electrolyze Limited</v>
      </c>
      <c r="K544" s="223" t="str">
        <f t="shared" si="21"/>
        <v>TinYunNan Gejiu Yunxin Electrolyze Limited</v>
      </c>
    </row>
    <row r="545" spans="1:11">
      <c r="A545" s="202" t="s">
        <v>132</v>
      </c>
      <c r="B545" s="202" t="s">
        <v>1407</v>
      </c>
      <c r="C545" s="202" t="s">
        <v>1224</v>
      </c>
      <c r="D545" s="202" t="s">
        <v>237</v>
      </c>
      <c r="E545" s="202" t="s">
        <v>1225</v>
      </c>
      <c r="F545" s="202" t="s">
        <v>159</v>
      </c>
      <c r="G545" s="202"/>
      <c r="H545" s="202" t="s">
        <v>1134</v>
      </c>
      <c r="I545" s="202" t="s">
        <v>328</v>
      </c>
      <c r="J545" s="223" t="str">
        <f t="shared" si="20"/>
        <v>TinYunnan Gejiu Zili Metallurgy Co. Ltd.</v>
      </c>
      <c r="K545" s="223" t="str">
        <f t="shared" si="21"/>
        <v>TinYunnan Gejiu Zili Metallurgy Co. Ltd.</v>
      </c>
    </row>
    <row r="546" spans="1:11">
      <c r="A546" s="202" t="s">
        <v>132</v>
      </c>
      <c r="B546" s="202" t="s">
        <v>1408</v>
      </c>
      <c r="C546" s="202" t="s">
        <v>1132</v>
      </c>
      <c r="D546" s="202" t="s">
        <v>237</v>
      </c>
      <c r="E546" s="202" t="s">
        <v>1133</v>
      </c>
      <c r="F546" s="202" t="s">
        <v>159</v>
      </c>
      <c r="G546" s="202"/>
      <c r="H546" s="202" t="s">
        <v>1134</v>
      </c>
      <c r="I546" s="202" t="s">
        <v>328</v>
      </c>
      <c r="J546" s="223" t="str">
        <f t="shared" si="20"/>
        <v>TinYunnan ride non-ferrous metal co., LTD</v>
      </c>
      <c r="K546" s="223" t="str">
        <f t="shared" si="21"/>
        <v>TinYunnan ride non-ferrous metal co., LTD</v>
      </c>
    </row>
    <row r="547" spans="1:11">
      <c r="A547" s="202" t="s">
        <v>132</v>
      </c>
      <c r="B547" s="202" t="s">
        <v>1409</v>
      </c>
      <c r="C547" s="202" t="s">
        <v>1148</v>
      </c>
      <c r="D547" s="202" t="s">
        <v>237</v>
      </c>
      <c r="E547" s="202" t="s">
        <v>1149</v>
      </c>
      <c r="F547" s="202" t="s">
        <v>159</v>
      </c>
      <c r="G547" s="202"/>
      <c r="H547" s="202" t="s">
        <v>1134</v>
      </c>
      <c r="I547" s="202" t="s">
        <v>328</v>
      </c>
      <c r="J547" s="223" t="str">
        <f t="shared" si="20"/>
        <v>TinYunnan Tin Company Limited</v>
      </c>
      <c r="K547" s="223" t="str">
        <f t="shared" si="21"/>
        <v>TinYunnan Tin Company Limited</v>
      </c>
    </row>
    <row r="548" spans="1:11">
      <c r="A548" s="202" t="s">
        <v>132</v>
      </c>
      <c r="B548" s="202" t="s">
        <v>1410</v>
      </c>
      <c r="C548" s="202" t="s">
        <v>1148</v>
      </c>
      <c r="D548" s="202" t="s">
        <v>237</v>
      </c>
      <c r="E548" s="202" t="s">
        <v>1149</v>
      </c>
      <c r="F548" s="202" t="s">
        <v>159</v>
      </c>
      <c r="G548" s="202"/>
      <c r="H548" s="202" t="s">
        <v>1134</v>
      </c>
      <c r="I548" s="202" t="s">
        <v>328</v>
      </c>
      <c r="J548" s="223" t="str">
        <f t="shared" si="20"/>
        <v>TinYunnan Tin Company, Ltd.</v>
      </c>
      <c r="K548" s="223" t="str">
        <f t="shared" si="21"/>
        <v>TinYunnan Tin Company, Ltd.</v>
      </c>
    </row>
    <row r="549" spans="1:11">
      <c r="A549" s="202" t="s">
        <v>132</v>
      </c>
      <c r="B549" s="202" t="s">
        <v>1411</v>
      </c>
      <c r="C549" s="202" t="s">
        <v>1132</v>
      </c>
      <c r="D549" s="202" t="s">
        <v>237</v>
      </c>
      <c r="E549" s="202" t="s">
        <v>1133</v>
      </c>
      <c r="F549" s="202" t="s">
        <v>159</v>
      </c>
      <c r="G549" s="202"/>
      <c r="H549" s="202" t="s">
        <v>1134</v>
      </c>
      <c r="I549" s="202" t="s">
        <v>328</v>
      </c>
      <c r="J549" s="223" t="str">
        <f t="shared" si="20"/>
        <v>TinYunnan wind Nonferrous Metals Co., Ltd.</v>
      </c>
      <c r="K549" s="223" t="str">
        <f t="shared" si="21"/>
        <v>TinYunnan wind Nonferrous Metals Co., Ltd.</v>
      </c>
    </row>
    <row r="550" spans="1:11">
      <c r="A550" s="202" t="s">
        <v>132</v>
      </c>
      <c r="B550" s="202" t="s">
        <v>1412</v>
      </c>
      <c r="C550" s="202" t="s">
        <v>1148</v>
      </c>
      <c r="D550" s="202" t="s">
        <v>237</v>
      </c>
      <c r="E550" s="202" t="s">
        <v>1149</v>
      </c>
      <c r="F550" s="202" t="s">
        <v>159</v>
      </c>
      <c r="G550" s="202"/>
      <c r="H550" s="202" t="s">
        <v>1134</v>
      </c>
      <c r="I550" s="202" t="s">
        <v>328</v>
      </c>
      <c r="J550" s="223" t="str">
        <f t="shared" si="20"/>
        <v>TinYunnan Xi YE</v>
      </c>
      <c r="K550" s="223" t="str">
        <f t="shared" si="21"/>
        <v>TinYunnan Xi YE</v>
      </c>
    </row>
    <row r="551" spans="1:11">
      <c r="A551" s="202" t="s">
        <v>132</v>
      </c>
      <c r="B551" s="202" t="s">
        <v>1413</v>
      </c>
      <c r="C551" s="202" t="s">
        <v>1413</v>
      </c>
      <c r="D551" s="202" t="s">
        <v>237</v>
      </c>
      <c r="E551" s="202" t="s">
        <v>1414</v>
      </c>
      <c r="F551" s="202"/>
      <c r="G551" s="202"/>
      <c r="H551" s="202" t="s">
        <v>1134</v>
      </c>
      <c r="I551" s="202" t="s">
        <v>328</v>
      </c>
      <c r="J551" s="223" t="str">
        <f t="shared" si="20"/>
        <v>TinYunnan Yunfan Non-ferrous Metals Co., Ltd.</v>
      </c>
      <c r="K551" s="223" t="str">
        <f t="shared" si="21"/>
        <v>TinYunnan Yunfan Non-ferrous Metals Co., Ltd.</v>
      </c>
    </row>
    <row r="552" spans="1:11">
      <c r="A552" s="202" t="s">
        <v>132</v>
      </c>
      <c r="B552" s="202" t="s">
        <v>1415</v>
      </c>
      <c r="C552" s="202" t="s">
        <v>1148</v>
      </c>
      <c r="D552" s="202" t="s">
        <v>237</v>
      </c>
      <c r="E552" s="202" t="s">
        <v>1149</v>
      </c>
      <c r="F552" s="202"/>
      <c r="G552" s="202"/>
      <c r="H552" s="202" t="s">
        <v>1134</v>
      </c>
      <c r="I552" s="202" t="s">
        <v>328</v>
      </c>
      <c r="J552" s="223" t="str">
        <f t="shared" si="20"/>
        <v>TinYuntinic Resources</v>
      </c>
      <c r="K552" s="223" t="str">
        <f t="shared" si="21"/>
        <v>TinYuntinic Resources</v>
      </c>
    </row>
    <row r="553" spans="1:11">
      <c r="A553" s="202" t="s">
        <v>132</v>
      </c>
      <c r="B553" s="202" t="s">
        <v>1416</v>
      </c>
      <c r="C553" s="202" t="s">
        <v>1221</v>
      </c>
      <c r="D553" s="202" t="s">
        <v>237</v>
      </c>
      <c r="E553" s="202" t="s">
        <v>1222</v>
      </c>
      <c r="F553" s="202" t="s">
        <v>159</v>
      </c>
      <c r="G553" s="202"/>
      <c r="H553" s="202" t="s">
        <v>1134</v>
      </c>
      <c r="I553" s="202" t="s">
        <v>328</v>
      </c>
      <c r="J553" s="223" t="str">
        <f t="shared" si="20"/>
        <v>TinYUNXIN colored electrolysis Company Limited</v>
      </c>
      <c r="K553" s="223" t="str">
        <f t="shared" si="21"/>
        <v>TinYUNXIN colored electrolysis Company Limited</v>
      </c>
    </row>
    <row r="554" spans="1:11">
      <c r="A554" s="202" t="s">
        <v>132</v>
      </c>
      <c r="B554" s="202" t="s">
        <v>1417</v>
      </c>
      <c r="C554" s="202" t="s">
        <v>1148</v>
      </c>
      <c r="D554" s="202" t="s">
        <v>237</v>
      </c>
      <c r="E554" s="202" t="s">
        <v>1149</v>
      </c>
      <c r="F554" s="202" t="s">
        <v>159</v>
      </c>
      <c r="G554" s="202"/>
      <c r="H554" s="202" t="s">
        <v>1134</v>
      </c>
      <c r="I554" s="202" t="s">
        <v>328</v>
      </c>
      <c r="J554" s="223" t="str">
        <f t="shared" si="20"/>
        <v>Tin云南锡业股份有限公司锡业分公司</v>
      </c>
      <c r="K554" s="223" t="str">
        <f t="shared" si="21"/>
        <v>Tin云南锡业股份有限公司锡业分公司</v>
      </c>
    </row>
    <row r="555" spans="1:11">
      <c r="A555" s="202" t="s">
        <v>132</v>
      </c>
      <c r="B555" s="202" t="s">
        <v>959</v>
      </c>
      <c r="C555" s="202"/>
      <c r="D555" s="202"/>
      <c r="E555" s="202"/>
      <c r="F555" s="202"/>
      <c r="G555" s="202"/>
      <c r="H555" s="202"/>
      <c r="I555" s="202"/>
      <c r="J555" s="223"/>
      <c r="K555" s="223"/>
    </row>
    <row r="556" spans="1:11">
      <c r="A556" s="202" t="s">
        <v>132</v>
      </c>
      <c r="B556" s="202" t="s">
        <v>138</v>
      </c>
      <c r="C556" s="202" t="s">
        <v>119</v>
      </c>
      <c r="D556" s="202" t="s">
        <v>119</v>
      </c>
      <c r="E556" s="202"/>
      <c r="F556" s="202"/>
      <c r="G556" s="202"/>
      <c r="H556" s="202"/>
      <c r="I556" s="202"/>
      <c r="J556" s="223"/>
      <c r="K556" s="223"/>
    </row>
    <row r="557" spans="1:11">
      <c r="A557" s="202" t="s">
        <v>133</v>
      </c>
      <c r="B557" s="202" t="s">
        <v>1418</v>
      </c>
      <c r="C557" s="202" t="s">
        <v>1418</v>
      </c>
      <c r="D557" s="202" t="s">
        <v>193</v>
      </c>
      <c r="E557" s="202" t="s">
        <v>1419</v>
      </c>
      <c r="F557" s="202" t="s">
        <v>159</v>
      </c>
      <c r="G557" s="202"/>
      <c r="H557" s="202" t="s">
        <v>1420</v>
      </c>
      <c r="I557" s="202" t="s">
        <v>1421</v>
      </c>
      <c r="J557" s="223" t="str">
        <f t="shared" si="20"/>
        <v>TungstenA.L.M.T. Corp.</v>
      </c>
      <c r="K557" s="223" t="str">
        <f t="shared" si="21"/>
        <v>TungstenA.L.M.T. Corp.</v>
      </c>
    </row>
    <row r="558" spans="1:11">
      <c r="A558" s="202" t="s">
        <v>133</v>
      </c>
      <c r="B558" s="202" t="s">
        <v>1422</v>
      </c>
      <c r="C558" s="202" t="s">
        <v>1418</v>
      </c>
      <c r="D558" s="202" t="s">
        <v>193</v>
      </c>
      <c r="E558" s="202" t="s">
        <v>1419</v>
      </c>
      <c r="F558" s="202" t="s">
        <v>159</v>
      </c>
      <c r="G558" s="202"/>
      <c r="H558" s="202" t="s">
        <v>1420</v>
      </c>
      <c r="I558" s="202" t="s">
        <v>1421</v>
      </c>
      <c r="J558" s="223" t="str">
        <f t="shared" si="20"/>
        <v>TungstenA.L.M.T. TUNGSTEN Corp.</v>
      </c>
      <c r="K558" s="223" t="str">
        <f t="shared" si="21"/>
        <v>TungstenA.L.M.T. TUNGSTEN Corp.</v>
      </c>
    </row>
    <row r="559" spans="1:11">
      <c r="A559" s="202" t="s">
        <v>133</v>
      </c>
      <c r="B559" s="202" t="s">
        <v>1423</v>
      </c>
      <c r="C559" s="202" t="s">
        <v>1423</v>
      </c>
      <c r="D559" s="202" t="s">
        <v>230</v>
      </c>
      <c r="E559" s="202" t="s">
        <v>1424</v>
      </c>
      <c r="F559" s="202" t="s">
        <v>159</v>
      </c>
      <c r="G559" s="202"/>
      <c r="H559" s="202" t="s">
        <v>1425</v>
      </c>
      <c r="I559" s="202" t="s">
        <v>615</v>
      </c>
      <c r="J559" s="223" t="str">
        <f t="shared" si="20"/>
        <v>TungstenACL Metais Eireli</v>
      </c>
      <c r="K559" s="223" t="str">
        <f t="shared" si="21"/>
        <v>TungstenACL Metais Eireli</v>
      </c>
    </row>
    <row r="560" spans="1:11">
      <c r="A560" s="202" t="s">
        <v>133</v>
      </c>
      <c r="B560" s="202" t="s">
        <v>1426</v>
      </c>
      <c r="C560" s="202" t="s">
        <v>1426</v>
      </c>
      <c r="D560" s="202" t="s">
        <v>230</v>
      </c>
      <c r="E560" s="202" t="s">
        <v>1427</v>
      </c>
      <c r="F560" s="202" t="s">
        <v>159</v>
      </c>
      <c r="G560" s="202"/>
      <c r="H560" s="202" t="s">
        <v>614</v>
      </c>
      <c r="I560" s="202" t="s">
        <v>615</v>
      </c>
      <c r="J560" s="223" t="str">
        <f t="shared" si="20"/>
        <v>TungstenAlbasteel Industria e Comercio de Ligas Para Fundicao Ltd.</v>
      </c>
      <c r="K560" s="223" t="str">
        <f t="shared" si="21"/>
        <v>TungstenAlbasteel Industria e Comercio de Ligas Para Fundicao Ltd.</v>
      </c>
    </row>
    <row r="561" spans="1:11">
      <c r="A561" s="202" t="s">
        <v>133</v>
      </c>
      <c r="B561" s="202" t="s">
        <v>1428</v>
      </c>
      <c r="C561" s="202" t="s">
        <v>1418</v>
      </c>
      <c r="D561" s="202" t="s">
        <v>193</v>
      </c>
      <c r="E561" s="202" t="s">
        <v>1419</v>
      </c>
      <c r="F561" s="202" t="s">
        <v>159</v>
      </c>
      <c r="G561" s="202"/>
      <c r="H561" s="202" t="s">
        <v>1420</v>
      </c>
      <c r="I561" s="202" t="s">
        <v>1421</v>
      </c>
      <c r="J561" s="223" t="str">
        <f t="shared" si="20"/>
        <v>TungstenAllied Material Corporation</v>
      </c>
      <c r="K561" s="223" t="str">
        <f t="shared" si="21"/>
        <v>TungstenAllied Material Corporation</v>
      </c>
    </row>
    <row r="562" spans="1:11">
      <c r="A562" s="202" t="s">
        <v>133</v>
      </c>
      <c r="B562" s="202" t="s">
        <v>1429</v>
      </c>
      <c r="C562" s="202" t="s">
        <v>1418</v>
      </c>
      <c r="D562" s="202" t="s">
        <v>193</v>
      </c>
      <c r="E562" s="202" t="s">
        <v>1419</v>
      </c>
      <c r="F562" s="202" t="s">
        <v>159</v>
      </c>
      <c r="G562" s="202"/>
      <c r="H562" s="202" t="s">
        <v>1420</v>
      </c>
      <c r="I562" s="202" t="s">
        <v>1421</v>
      </c>
      <c r="J562" s="223" t="str">
        <f t="shared" si="20"/>
        <v>TungstenALMT Corp</v>
      </c>
      <c r="K562" s="223" t="str">
        <f t="shared" si="21"/>
        <v>TungstenALMT Corp</v>
      </c>
    </row>
    <row r="563" spans="1:11">
      <c r="A563" s="202" t="s">
        <v>133</v>
      </c>
      <c r="B563" s="202" t="s">
        <v>1430</v>
      </c>
      <c r="C563" s="202" t="s">
        <v>1418</v>
      </c>
      <c r="D563" s="202" t="s">
        <v>193</v>
      </c>
      <c r="E563" s="202" t="s">
        <v>1419</v>
      </c>
      <c r="F563" s="202" t="s">
        <v>159</v>
      </c>
      <c r="G563" s="202"/>
      <c r="H563" s="202" t="s">
        <v>1420</v>
      </c>
      <c r="I563" s="202" t="s">
        <v>1421</v>
      </c>
      <c r="J563" s="223" t="str">
        <f t="shared" si="20"/>
        <v>TungstenALMT Sumitomo Group</v>
      </c>
      <c r="K563" s="223" t="str">
        <f t="shared" si="21"/>
        <v>TungstenALMT Sumitomo Group</v>
      </c>
    </row>
    <row r="564" spans="1:11">
      <c r="A564" s="202" t="s">
        <v>133</v>
      </c>
      <c r="B564" s="202" t="s">
        <v>1431</v>
      </c>
      <c r="C564" s="202" t="s">
        <v>1431</v>
      </c>
      <c r="D564" s="202" t="s">
        <v>388</v>
      </c>
      <c r="E564" s="202" t="s">
        <v>1432</v>
      </c>
      <c r="F564" s="202" t="s">
        <v>159</v>
      </c>
      <c r="G564" s="202"/>
      <c r="H564" s="202" t="s">
        <v>1433</v>
      </c>
      <c r="I564" s="202" t="s">
        <v>408</v>
      </c>
      <c r="J564" s="223" t="str">
        <f t="shared" si="20"/>
        <v>TungstenArtek LLC</v>
      </c>
      <c r="K564" s="223" t="str">
        <f t="shared" si="21"/>
        <v>TungstenArtek LLC</v>
      </c>
    </row>
    <row r="565" spans="1:11">
      <c r="A565" s="202" t="s">
        <v>133</v>
      </c>
      <c r="B565" s="202" t="s">
        <v>1434</v>
      </c>
      <c r="C565" s="202" t="s">
        <v>1434</v>
      </c>
      <c r="D565" s="202" t="s">
        <v>1111</v>
      </c>
      <c r="E565" s="202" t="s">
        <v>1435</v>
      </c>
      <c r="F565" s="202" t="s">
        <v>159</v>
      </c>
      <c r="G565" s="202"/>
      <c r="H565" s="202" t="s">
        <v>1436</v>
      </c>
      <c r="I565" s="202" t="s">
        <v>1437</v>
      </c>
      <c r="J565" s="223" t="str">
        <f t="shared" si="20"/>
        <v>TungstenAsia Tungsten Products Vietnam Ltd.</v>
      </c>
      <c r="K565" s="223" t="str">
        <f t="shared" si="21"/>
        <v>TungstenAsia Tungsten Products Vietnam Ltd.</v>
      </c>
    </row>
    <row r="566" spans="1:11">
      <c r="A566" s="202" t="s">
        <v>133</v>
      </c>
      <c r="B566" s="202" t="s">
        <v>1438</v>
      </c>
      <c r="C566" s="202" t="s">
        <v>1439</v>
      </c>
      <c r="D566" s="202" t="s">
        <v>168</v>
      </c>
      <c r="E566" s="202" t="s">
        <v>1440</v>
      </c>
      <c r="F566" s="202" t="s">
        <v>159</v>
      </c>
      <c r="G566" s="202"/>
      <c r="H566" s="202" t="s">
        <v>1441</v>
      </c>
      <c r="I566" s="202" t="s">
        <v>1442</v>
      </c>
      <c r="J566" s="223" t="str">
        <f t="shared" si="20"/>
        <v>TungstenATI Metalworking Products</v>
      </c>
      <c r="K566" s="223" t="str">
        <f t="shared" si="21"/>
        <v>TungstenATI Metalworking Products</v>
      </c>
    </row>
    <row r="567" spans="1:11">
      <c r="A567" s="202" t="s">
        <v>133</v>
      </c>
      <c r="B567" s="202" t="s">
        <v>1443</v>
      </c>
      <c r="C567" s="202" t="s">
        <v>1439</v>
      </c>
      <c r="D567" s="202" t="s">
        <v>168</v>
      </c>
      <c r="E567" s="202" t="s">
        <v>1440</v>
      </c>
      <c r="F567" s="202" t="s">
        <v>159</v>
      </c>
      <c r="G567" s="202"/>
      <c r="H567" s="202" t="s">
        <v>1441</v>
      </c>
      <c r="I567" s="202" t="s">
        <v>1442</v>
      </c>
      <c r="J567" s="223" t="str">
        <f t="shared" si="20"/>
        <v>TungstenATI Tungsten Materials</v>
      </c>
      <c r="K567" s="223" t="str">
        <f t="shared" si="21"/>
        <v>TungstenATI Tungsten Materials</v>
      </c>
    </row>
    <row r="568" spans="1:11">
      <c r="A568" s="202" t="s">
        <v>133</v>
      </c>
      <c r="B568" s="202" t="s">
        <v>1444</v>
      </c>
      <c r="C568" s="202" t="s">
        <v>1445</v>
      </c>
      <c r="D568" s="202" t="s">
        <v>237</v>
      </c>
      <c r="E568" s="202" t="s">
        <v>1446</v>
      </c>
      <c r="F568" s="202" t="s">
        <v>159</v>
      </c>
      <c r="G568" s="202"/>
      <c r="H568" s="202" t="s">
        <v>1230</v>
      </c>
      <c r="I568" s="202" t="s">
        <v>454</v>
      </c>
      <c r="J568" s="223" t="str">
        <f t="shared" si="20"/>
        <v>TungstenChaozhou Xianglu Tungsten Industry Co., Ltd.</v>
      </c>
      <c r="K568" s="223" t="str">
        <f t="shared" si="21"/>
        <v>TungstenChaozhou Xianglu Tungsten Industry Co., Ltd.</v>
      </c>
    </row>
    <row r="569" spans="1:11">
      <c r="A569" s="202" t="s">
        <v>133</v>
      </c>
      <c r="B569" s="202" t="s">
        <v>1447</v>
      </c>
      <c r="C569" s="202" t="s">
        <v>1448</v>
      </c>
      <c r="D569" s="202" t="s">
        <v>237</v>
      </c>
      <c r="E569" s="202" t="s">
        <v>1449</v>
      </c>
      <c r="F569" s="202" t="s">
        <v>159</v>
      </c>
      <c r="G569" s="202"/>
      <c r="H569" s="202" t="s">
        <v>491</v>
      </c>
      <c r="I569" s="202" t="s">
        <v>486</v>
      </c>
      <c r="J569" s="223" t="str">
        <f t="shared" si="20"/>
        <v>TungstenChenzhou Diamond Tungsten Products Co., Ltd.</v>
      </c>
      <c r="K569" s="223" t="str">
        <f t="shared" si="21"/>
        <v>TungstenChenzhou Diamond Tungsten Products Co., Ltd.</v>
      </c>
    </row>
    <row r="570" spans="1:11">
      <c r="A570" s="202" t="s">
        <v>133</v>
      </c>
      <c r="B570" s="202" t="s">
        <v>1450</v>
      </c>
      <c r="C570" s="202" t="s">
        <v>1451</v>
      </c>
      <c r="D570" s="202" t="s">
        <v>237</v>
      </c>
      <c r="E570" s="202" t="s">
        <v>1452</v>
      </c>
      <c r="F570" s="202" t="s">
        <v>159</v>
      </c>
      <c r="G570" s="202"/>
      <c r="H570" s="202" t="s">
        <v>609</v>
      </c>
      <c r="I570" s="202" t="s">
        <v>338</v>
      </c>
      <c r="J570" s="223" t="str">
        <f t="shared" si="20"/>
        <v>TungstenChina Molybdenum Co., Ltd.</v>
      </c>
      <c r="K570" s="223" t="str">
        <f t="shared" si="21"/>
        <v>TungstenChina Molybdenum Co., Ltd.</v>
      </c>
    </row>
    <row r="571" spans="1:11">
      <c r="A571" s="202" t="s">
        <v>133</v>
      </c>
      <c r="B571" s="202" t="s">
        <v>1451</v>
      </c>
      <c r="C571" s="202" t="s">
        <v>1451</v>
      </c>
      <c r="D571" s="202" t="s">
        <v>237</v>
      </c>
      <c r="E571" s="202" t="s">
        <v>1452</v>
      </c>
      <c r="F571" s="202" t="s">
        <v>159</v>
      </c>
      <c r="G571" s="202"/>
      <c r="H571" s="202" t="s">
        <v>609</v>
      </c>
      <c r="I571" s="202" t="s">
        <v>338</v>
      </c>
      <c r="J571" s="223" t="str">
        <f t="shared" si="20"/>
        <v>TungstenChina Molybdenum Tungsten Co., Ltd.</v>
      </c>
      <c r="K571" s="223" t="str">
        <f t="shared" si="21"/>
        <v>TungstenChina Molybdenum Tungsten Co., Ltd.</v>
      </c>
    </row>
    <row r="572" spans="1:11">
      <c r="A572" s="202" t="s">
        <v>133</v>
      </c>
      <c r="B572" s="202" t="s">
        <v>1453</v>
      </c>
      <c r="C572" s="202" t="s">
        <v>1451</v>
      </c>
      <c r="D572" s="202" t="s">
        <v>237</v>
      </c>
      <c r="E572" s="202" t="s">
        <v>1452</v>
      </c>
      <c r="F572" s="202" t="s">
        <v>159</v>
      </c>
      <c r="G572" s="202"/>
      <c r="H572" s="202" t="s">
        <v>609</v>
      </c>
      <c r="I572" s="202" t="s">
        <v>338</v>
      </c>
      <c r="J572" s="223" t="str">
        <f t="shared" si="20"/>
        <v>TungstenChina MuYe Tungsten Co,. Ltd.</v>
      </c>
      <c r="K572" s="223" t="str">
        <f t="shared" si="21"/>
        <v>TungstenChina MuYe Tungsten Co,. Ltd.</v>
      </c>
    </row>
    <row r="573" spans="1:11">
      <c r="A573" s="202" t="s">
        <v>133</v>
      </c>
      <c r="B573" s="202" t="s">
        <v>1454</v>
      </c>
      <c r="C573" s="202" t="s">
        <v>1454</v>
      </c>
      <c r="D573" s="202" t="s">
        <v>237</v>
      </c>
      <c r="E573" s="202" t="s">
        <v>1455</v>
      </c>
      <c r="F573" s="202" t="s">
        <v>159</v>
      </c>
      <c r="G573" s="202"/>
      <c r="H573" s="202" t="s">
        <v>1248</v>
      </c>
      <c r="I573" s="202" t="s">
        <v>526</v>
      </c>
      <c r="J573" s="223" t="str">
        <f t="shared" si="20"/>
        <v>TungstenChongyi Zhangyuan Tungsten Co., Ltd.</v>
      </c>
      <c r="K573" s="223" t="str">
        <f t="shared" si="21"/>
        <v>TungstenChongyi Zhangyuan Tungsten Co., Ltd.</v>
      </c>
    </row>
    <row r="574" spans="1:11">
      <c r="A574" s="202" t="s">
        <v>133</v>
      </c>
      <c r="B574" s="202" t="s">
        <v>1456</v>
      </c>
      <c r="C574" s="202" t="s">
        <v>1456</v>
      </c>
      <c r="D574" s="202" t="s">
        <v>237</v>
      </c>
      <c r="E574" s="202" t="s">
        <v>1457</v>
      </c>
      <c r="F574" s="202" t="s">
        <v>159</v>
      </c>
      <c r="G574" s="202"/>
      <c r="H574" s="202" t="s">
        <v>1458</v>
      </c>
      <c r="I574" s="202" t="s">
        <v>1145</v>
      </c>
      <c r="J574" s="223" t="str">
        <f t="shared" si="20"/>
        <v>TungstenCNMC (Guangxi) PGMA Co., Ltd.</v>
      </c>
      <c r="K574" s="223" t="str">
        <f t="shared" si="21"/>
        <v>TungstenCNMC (Guangxi) PGMA Co., Ltd.</v>
      </c>
    </row>
    <row r="575" spans="1:11">
      <c r="A575" s="202" t="s">
        <v>133</v>
      </c>
      <c r="B575" s="202" t="s">
        <v>1459</v>
      </c>
      <c r="C575" s="202" t="s">
        <v>1459</v>
      </c>
      <c r="D575" s="202" t="s">
        <v>230</v>
      </c>
      <c r="E575" s="202" t="s">
        <v>1460</v>
      </c>
      <c r="F575" s="202" t="s">
        <v>159</v>
      </c>
      <c r="G575" s="202"/>
      <c r="H575" s="202" t="s">
        <v>1461</v>
      </c>
      <c r="I575" s="202" t="s">
        <v>1156</v>
      </c>
      <c r="J575" s="223" t="str">
        <f t="shared" si="20"/>
        <v>TungstenCronimet Brasil Ltda</v>
      </c>
      <c r="K575" s="223" t="str">
        <f t="shared" si="21"/>
        <v>TungstenCronimet Brasil Ltda</v>
      </c>
    </row>
    <row r="576" spans="1:11">
      <c r="A576" s="202" t="s">
        <v>133</v>
      </c>
      <c r="B576" s="202" t="s">
        <v>1462</v>
      </c>
      <c r="C576" s="202" t="s">
        <v>1462</v>
      </c>
      <c r="D576" s="202" t="s">
        <v>364</v>
      </c>
      <c r="E576" s="202" t="s">
        <v>1463</v>
      </c>
      <c r="F576" s="202" t="s">
        <v>159</v>
      </c>
      <c r="G576" s="202"/>
      <c r="H576" s="202" t="s">
        <v>1464</v>
      </c>
      <c r="I576" s="202" t="s">
        <v>1465</v>
      </c>
      <c r="J576" s="223" t="str">
        <f t="shared" si="20"/>
        <v>TungstenDONGKUK INDUSTRIES CO., LTD.</v>
      </c>
      <c r="K576" s="223" t="str">
        <f t="shared" si="21"/>
        <v>TungstenDONGKUK INDUSTRIES CO., LTD.</v>
      </c>
    </row>
    <row r="577" spans="1:11">
      <c r="A577" s="202" t="s">
        <v>133</v>
      </c>
      <c r="B577" s="202" t="s">
        <v>1466</v>
      </c>
      <c r="C577" s="202" t="s">
        <v>1466</v>
      </c>
      <c r="D577" s="202" t="s">
        <v>237</v>
      </c>
      <c r="E577" s="202" t="s">
        <v>1467</v>
      </c>
      <c r="F577" s="202" t="s">
        <v>159</v>
      </c>
      <c r="G577" s="202"/>
      <c r="H577" s="202" t="s">
        <v>1468</v>
      </c>
      <c r="I577" s="202" t="s">
        <v>428</v>
      </c>
      <c r="J577" s="223" t="str">
        <f t="shared" si="20"/>
        <v>TungstenFujian Ganmin RareMetal Co., Ltd.</v>
      </c>
      <c r="K577" s="223" t="str">
        <f t="shared" si="21"/>
        <v>TungstenFujian Ganmin RareMetal Co., Ltd.</v>
      </c>
    </row>
    <row r="578" spans="1:11">
      <c r="A578" s="202" t="s">
        <v>133</v>
      </c>
      <c r="B578" s="202" t="s">
        <v>1469</v>
      </c>
      <c r="C578" s="202" t="s">
        <v>1470</v>
      </c>
      <c r="D578" s="202" t="s">
        <v>237</v>
      </c>
      <c r="E578" s="202" t="s">
        <v>1471</v>
      </c>
      <c r="F578" s="202" t="s">
        <v>159</v>
      </c>
      <c r="G578" s="202"/>
      <c r="H578" s="202" t="s">
        <v>1468</v>
      </c>
      <c r="I578" s="202" t="s">
        <v>428</v>
      </c>
      <c r="J578" s="223" t="str">
        <f t="shared" si="20"/>
        <v>TungstenFujian Xinlu Tungsten</v>
      </c>
      <c r="K578" s="223" t="str">
        <f t="shared" si="21"/>
        <v>TungstenFujian Xinlu Tungsten</v>
      </c>
    </row>
    <row r="579" spans="1:11">
      <c r="A579" s="202" t="s">
        <v>133</v>
      </c>
      <c r="B579" s="202" t="s">
        <v>1470</v>
      </c>
      <c r="C579" s="202" t="s">
        <v>1470</v>
      </c>
      <c r="D579" s="202" t="s">
        <v>237</v>
      </c>
      <c r="E579" s="202" t="s">
        <v>1471</v>
      </c>
      <c r="F579" s="202" t="s">
        <v>159</v>
      </c>
      <c r="G579" s="202"/>
      <c r="H579" s="202" t="s">
        <v>1468</v>
      </c>
      <c r="I579" s="202" t="s">
        <v>428</v>
      </c>
      <c r="J579" s="223" t="str">
        <f t="shared" si="20"/>
        <v>TungstenFujian Xinlu Tungsten Co., Ltd.</v>
      </c>
      <c r="K579" s="223" t="str">
        <f t="shared" si="21"/>
        <v>TungstenFujian Xinlu Tungsten Co., Ltd.</v>
      </c>
    </row>
    <row r="580" spans="1:11">
      <c r="A580" s="202" t="s">
        <v>133</v>
      </c>
      <c r="B580" s="202" t="s">
        <v>1472</v>
      </c>
      <c r="C580" s="202" t="s">
        <v>1472</v>
      </c>
      <c r="D580" s="202" t="s">
        <v>237</v>
      </c>
      <c r="E580" s="202" t="s">
        <v>1473</v>
      </c>
      <c r="F580" s="202" t="s">
        <v>159</v>
      </c>
      <c r="G580" s="202"/>
      <c r="H580" s="202" t="s">
        <v>1248</v>
      </c>
      <c r="I580" s="202" t="s">
        <v>526</v>
      </c>
      <c r="J580" s="223" t="str">
        <f t="shared" si="20"/>
        <v>TungstenGanzhou Haichuang Tungsten Co., Ltd.</v>
      </c>
      <c r="K580" s="223" t="str">
        <f t="shared" si="21"/>
        <v>TungstenGanzhou Haichuang Tungsten Co., Ltd.</v>
      </c>
    </row>
    <row r="581" spans="1:11">
      <c r="A581" s="202" t="s">
        <v>133</v>
      </c>
      <c r="B581" s="202" t="s">
        <v>1474</v>
      </c>
      <c r="C581" s="202" t="s">
        <v>1474</v>
      </c>
      <c r="D581" s="202" t="s">
        <v>237</v>
      </c>
      <c r="E581" s="202" t="s">
        <v>1475</v>
      </c>
      <c r="F581" s="202" t="s">
        <v>159</v>
      </c>
      <c r="G581" s="202"/>
      <c r="H581" s="202" t="s">
        <v>1248</v>
      </c>
      <c r="I581" s="202" t="s">
        <v>526</v>
      </c>
      <c r="J581" s="223" t="str">
        <f t="shared" si="20"/>
        <v>TungstenGanzhou Huaxing Tungsten Products Co., Ltd.</v>
      </c>
      <c r="K581" s="223" t="str">
        <f t="shared" si="21"/>
        <v>TungstenGanzhou Huaxing Tungsten Products Co., Ltd.</v>
      </c>
    </row>
    <row r="582" spans="1:11">
      <c r="A582" s="202" t="s">
        <v>133</v>
      </c>
      <c r="B582" s="202" t="s">
        <v>1476</v>
      </c>
      <c r="C582" s="202" t="s">
        <v>1476</v>
      </c>
      <c r="D582" s="202" t="s">
        <v>237</v>
      </c>
      <c r="E582" s="202" t="s">
        <v>1477</v>
      </c>
      <c r="F582" s="202" t="s">
        <v>159</v>
      </c>
      <c r="G582" s="202"/>
      <c r="H582" s="202" t="s">
        <v>1248</v>
      </c>
      <c r="I582" s="202" t="s">
        <v>526</v>
      </c>
      <c r="J582" s="223" t="str">
        <f t="shared" si="20"/>
        <v>TungstenGanzhou Jiangwu Ferrotungsten Co., Ltd.</v>
      </c>
      <c r="K582" s="223" t="str">
        <f t="shared" si="21"/>
        <v>TungstenGanzhou Jiangwu Ferrotungsten Co., Ltd.</v>
      </c>
    </row>
    <row r="583" spans="1:11">
      <c r="A583" s="202" t="s">
        <v>133</v>
      </c>
      <c r="B583" s="202" t="s">
        <v>1478</v>
      </c>
      <c r="C583" s="202" t="s">
        <v>1478</v>
      </c>
      <c r="D583" s="202" t="s">
        <v>237</v>
      </c>
      <c r="E583" s="202" t="s">
        <v>1479</v>
      </c>
      <c r="F583" s="202" t="s">
        <v>159</v>
      </c>
      <c r="G583" s="202"/>
      <c r="H583" s="202" t="s">
        <v>1248</v>
      </c>
      <c r="I583" s="202" t="s">
        <v>526</v>
      </c>
      <c r="J583" s="223" t="str">
        <f t="shared" si="20"/>
        <v>TungstenGanzhou Seadragon W &amp; Mo Co., Ltd.</v>
      </c>
      <c r="K583" s="223" t="str">
        <f t="shared" si="21"/>
        <v>TungstenGanzhou Seadragon W &amp; Mo Co., Ltd.</v>
      </c>
    </row>
    <row r="584" spans="1:11">
      <c r="A584" s="202" t="s">
        <v>133</v>
      </c>
      <c r="B584" s="202" t="s">
        <v>1480</v>
      </c>
      <c r="C584" s="202" t="s">
        <v>1481</v>
      </c>
      <c r="D584" s="202" t="s">
        <v>237</v>
      </c>
      <c r="E584" s="202" t="s">
        <v>1482</v>
      </c>
      <c r="F584" s="202" t="s">
        <v>159</v>
      </c>
      <c r="G584" s="202"/>
      <c r="H584" s="202" t="s">
        <v>839</v>
      </c>
      <c r="I584" s="202" t="s">
        <v>454</v>
      </c>
      <c r="J584" s="223" t="str">
        <f t="shared" ref="J584:J633" si="22">A584&amp;B584</f>
        <v>TungstenGEM Co., Ltd.</v>
      </c>
      <c r="K584" s="223" t="str">
        <f t="shared" ref="K584:K633" si="23">A584&amp;B584</f>
        <v>TungstenGEM Co., Ltd.</v>
      </c>
    </row>
    <row r="585" spans="1:11">
      <c r="A585" s="202" t="s">
        <v>133</v>
      </c>
      <c r="B585" s="202" t="s">
        <v>1483</v>
      </c>
      <c r="C585" s="202" t="s">
        <v>1483</v>
      </c>
      <c r="D585" s="202" t="s">
        <v>168</v>
      </c>
      <c r="E585" s="202" t="s">
        <v>1484</v>
      </c>
      <c r="F585" s="202" t="s">
        <v>159</v>
      </c>
      <c r="G585" s="202"/>
      <c r="H585" s="202" t="s">
        <v>1485</v>
      </c>
      <c r="I585" s="202" t="s">
        <v>171</v>
      </c>
      <c r="J585" s="223" t="str">
        <f t="shared" si="22"/>
        <v>TungstenGlobal Tungsten &amp; Powders Corp.</v>
      </c>
      <c r="K585" s="223" t="str">
        <f t="shared" si="23"/>
        <v>TungstenGlobal Tungsten &amp; Powders Corp.</v>
      </c>
    </row>
    <row r="586" spans="1:11">
      <c r="A586" s="202" t="s">
        <v>133</v>
      </c>
      <c r="B586" s="202" t="s">
        <v>1486</v>
      </c>
      <c r="C586" s="202" t="s">
        <v>1483</v>
      </c>
      <c r="D586" s="202" t="s">
        <v>168</v>
      </c>
      <c r="E586" s="202" t="s">
        <v>1484</v>
      </c>
      <c r="F586" s="202" t="s">
        <v>159</v>
      </c>
      <c r="G586" s="202"/>
      <c r="H586" s="202" t="s">
        <v>1485</v>
      </c>
      <c r="I586" s="202" t="s">
        <v>171</v>
      </c>
      <c r="J586" s="223" t="str">
        <f t="shared" si="22"/>
        <v>TungstenGTP</v>
      </c>
      <c r="K586" s="223" t="str">
        <f t="shared" si="23"/>
        <v>TungstenGTP</v>
      </c>
    </row>
    <row r="587" spans="1:11">
      <c r="A587" s="202" t="s">
        <v>133</v>
      </c>
      <c r="B587" s="202" t="s">
        <v>1445</v>
      </c>
      <c r="C587" s="202" t="s">
        <v>1445</v>
      </c>
      <c r="D587" s="202" t="s">
        <v>237</v>
      </c>
      <c r="E587" s="202" t="s">
        <v>1446</v>
      </c>
      <c r="F587" s="202" t="s">
        <v>159</v>
      </c>
      <c r="G587" s="202"/>
      <c r="H587" s="202" t="s">
        <v>1230</v>
      </c>
      <c r="I587" s="202" t="s">
        <v>454</v>
      </c>
      <c r="J587" s="223" t="str">
        <f t="shared" si="22"/>
        <v>TungstenGuangdong Xianglu Tungsten Co., Ltd.</v>
      </c>
      <c r="K587" s="223" t="str">
        <f t="shared" si="23"/>
        <v>TungstenGuangdong Xianglu Tungsten Co., Ltd.</v>
      </c>
    </row>
    <row r="588" spans="1:11">
      <c r="A588" s="202" t="s">
        <v>133</v>
      </c>
      <c r="B588" s="202" t="s">
        <v>1006</v>
      </c>
      <c r="C588" s="202" t="s">
        <v>1007</v>
      </c>
      <c r="D588" s="202" t="s">
        <v>182</v>
      </c>
      <c r="E588" s="202" t="s">
        <v>1487</v>
      </c>
      <c r="F588" s="202" t="s">
        <v>159</v>
      </c>
      <c r="G588" s="202"/>
      <c r="H588" s="202" t="s">
        <v>1009</v>
      </c>
      <c r="I588" s="202" t="s">
        <v>185</v>
      </c>
      <c r="J588" s="223" t="str">
        <f t="shared" si="22"/>
        <v>TungstenH.C. Starck Smelting GmbH &amp; Co. KG</v>
      </c>
      <c r="K588" s="223" t="str">
        <f t="shared" si="23"/>
        <v>TungstenH.C. Starck Smelting GmbH &amp; Co. KG</v>
      </c>
    </row>
    <row r="589" spans="1:11">
      <c r="A589" s="202" t="s">
        <v>133</v>
      </c>
      <c r="B589" s="202" t="s">
        <v>1488</v>
      </c>
      <c r="C589" s="202" t="s">
        <v>1488</v>
      </c>
      <c r="D589" s="202" t="s">
        <v>182</v>
      </c>
      <c r="E589" s="202" t="s">
        <v>1489</v>
      </c>
      <c r="F589" s="202" t="s">
        <v>159</v>
      </c>
      <c r="G589" s="202"/>
      <c r="H589" s="202" t="s">
        <v>1013</v>
      </c>
      <c r="I589" s="202" t="s">
        <v>1014</v>
      </c>
      <c r="J589" s="223" t="str">
        <f t="shared" si="22"/>
        <v>TungstenH.C. Starck Tungsten GmbH</v>
      </c>
      <c r="K589" s="223" t="str">
        <f t="shared" si="23"/>
        <v>TungstenH.C. Starck Tungsten GmbH</v>
      </c>
    </row>
    <row r="590" spans="1:11">
      <c r="A590" s="202" t="s">
        <v>133</v>
      </c>
      <c r="B590" s="202" t="s">
        <v>1490</v>
      </c>
      <c r="C590" s="202" t="s">
        <v>1476</v>
      </c>
      <c r="D590" s="202" t="s">
        <v>237</v>
      </c>
      <c r="E590" s="202" t="s">
        <v>1477</v>
      </c>
      <c r="F590" s="202" t="s">
        <v>159</v>
      </c>
      <c r="G590" s="202"/>
      <c r="H590" s="202" t="s">
        <v>1248</v>
      </c>
      <c r="I590" s="202" t="s">
        <v>526</v>
      </c>
      <c r="J590" s="223" t="str">
        <f t="shared" si="22"/>
        <v>TungstenHan River Pelican State Alloy Co., Ltd.</v>
      </c>
      <c r="K590" s="223" t="str">
        <f t="shared" si="23"/>
        <v>TungstenHan River Pelican State Alloy Co., Ltd.</v>
      </c>
    </row>
    <row r="591" spans="1:11">
      <c r="A591" s="202" t="s">
        <v>133</v>
      </c>
      <c r="B591" s="202" t="s">
        <v>1491</v>
      </c>
      <c r="C591" s="202" t="s">
        <v>1491</v>
      </c>
      <c r="D591" s="202" t="s">
        <v>364</v>
      </c>
      <c r="E591" s="202" t="s">
        <v>1492</v>
      </c>
      <c r="F591" s="202" t="s">
        <v>159</v>
      </c>
      <c r="G591" s="202"/>
      <c r="H591" s="202" t="s">
        <v>1493</v>
      </c>
      <c r="I591" s="202" t="s">
        <v>915</v>
      </c>
      <c r="J591" s="223" t="str">
        <f t="shared" si="22"/>
        <v>TungstenHANNAE FOR T Co., Ltd.</v>
      </c>
      <c r="K591" s="223" t="str">
        <f t="shared" si="23"/>
        <v>TungstenHANNAE FOR T Co., Ltd.</v>
      </c>
    </row>
    <row r="592" spans="1:11">
      <c r="A592" s="202" t="s">
        <v>133</v>
      </c>
      <c r="B592" s="202" t="s">
        <v>1481</v>
      </c>
      <c r="C592" s="202" t="s">
        <v>1481</v>
      </c>
      <c r="D592" s="202" t="s">
        <v>237</v>
      </c>
      <c r="E592" s="202" t="s">
        <v>1482</v>
      </c>
      <c r="F592" s="202" t="s">
        <v>159</v>
      </c>
      <c r="G592" s="202"/>
      <c r="H592" s="202" t="s">
        <v>839</v>
      </c>
      <c r="I592" s="202" t="s">
        <v>454</v>
      </c>
      <c r="J592" s="223" t="str">
        <f t="shared" si="22"/>
        <v>TungstenHubei Green Tungsten Co., Ltd.</v>
      </c>
      <c r="K592" s="223" t="str">
        <f t="shared" si="23"/>
        <v>TungstenHubei Green Tungsten Co., Ltd.</v>
      </c>
    </row>
    <row r="593" spans="1:11">
      <c r="A593" s="202" t="s">
        <v>133</v>
      </c>
      <c r="B593" s="202" t="s">
        <v>1494</v>
      </c>
      <c r="C593" s="202" t="s">
        <v>1495</v>
      </c>
      <c r="D593" s="202" t="s">
        <v>237</v>
      </c>
      <c r="E593" s="202" t="s">
        <v>1496</v>
      </c>
      <c r="F593" s="202" t="s">
        <v>159</v>
      </c>
      <c r="G593" s="202"/>
      <c r="H593" s="202" t="s">
        <v>1017</v>
      </c>
      <c r="I593" s="202" t="s">
        <v>486</v>
      </c>
      <c r="J593" s="223" t="str">
        <f t="shared" si="22"/>
        <v>TungstenHuman Chun-Chang non-ferrous Smelting &amp; Concentrating Co., Ltd.</v>
      </c>
      <c r="K593" s="223" t="str">
        <f t="shared" si="23"/>
        <v>TungstenHuman Chun-Chang non-ferrous Smelting &amp; Concentrating Co., Ltd.</v>
      </c>
    </row>
    <row r="594" spans="1:11">
      <c r="A594" s="202" t="s">
        <v>133</v>
      </c>
      <c r="B594" s="202" t="s">
        <v>483</v>
      </c>
      <c r="C594" s="202" t="s">
        <v>483</v>
      </c>
      <c r="D594" s="202" t="s">
        <v>237</v>
      </c>
      <c r="E594" s="202" t="s">
        <v>1497</v>
      </c>
      <c r="F594" s="202" t="s">
        <v>159</v>
      </c>
      <c r="G594" s="202"/>
      <c r="H594" s="202" t="s">
        <v>485</v>
      </c>
      <c r="I594" s="202" t="s">
        <v>486</v>
      </c>
      <c r="J594" s="223" t="str">
        <f t="shared" si="22"/>
        <v>TungstenHunan Chenzhou Mining Co., Ltd.</v>
      </c>
      <c r="K594" s="223" t="str">
        <f t="shared" si="23"/>
        <v>TungstenHunan Chenzhou Mining Co., Ltd.</v>
      </c>
    </row>
    <row r="595" spans="1:11">
      <c r="A595" s="202" t="s">
        <v>133</v>
      </c>
      <c r="B595" s="202" t="s">
        <v>487</v>
      </c>
      <c r="C595" s="202" t="s">
        <v>483</v>
      </c>
      <c r="D595" s="202" t="s">
        <v>237</v>
      </c>
      <c r="E595" s="202" t="s">
        <v>1497</v>
      </c>
      <c r="F595" s="202" t="s">
        <v>159</v>
      </c>
      <c r="G595" s="202"/>
      <c r="H595" s="202" t="s">
        <v>485</v>
      </c>
      <c r="I595" s="202" t="s">
        <v>486</v>
      </c>
      <c r="J595" s="223" t="str">
        <f t="shared" si="22"/>
        <v>TungstenHunan Chenzhou Mining Group Co., Ltd.</v>
      </c>
      <c r="K595" s="223" t="str">
        <f t="shared" si="23"/>
        <v>TungstenHunan Chenzhou Mining Group Co., Ltd.</v>
      </c>
    </row>
    <row r="596" spans="1:11">
      <c r="A596" s="202" t="s">
        <v>133</v>
      </c>
      <c r="B596" s="202" t="s">
        <v>1498</v>
      </c>
      <c r="C596" s="202" t="s">
        <v>1495</v>
      </c>
      <c r="D596" s="202" t="s">
        <v>237</v>
      </c>
      <c r="E596" s="202" t="s">
        <v>1496</v>
      </c>
      <c r="F596" s="202" t="s">
        <v>159</v>
      </c>
      <c r="G596" s="202"/>
      <c r="H596" s="202" t="s">
        <v>1017</v>
      </c>
      <c r="I596" s="182" t="s">
        <v>486</v>
      </c>
      <c r="J596" s="223" t="str">
        <f t="shared" si="22"/>
        <v>TungstenHunan Chunchang Nonferrous Metals Co., Ltd.</v>
      </c>
      <c r="K596" s="223" t="str">
        <f t="shared" si="23"/>
        <v>TungstenHunan Chunchang Nonferrous Metals Co., Ltd.</v>
      </c>
    </row>
    <row r="597" spans="1:11">
      <c r="A597" s="202" t="s">
        <v>133</v>
      </c>
      <c r="B597" s="202" t="s">
        <v>1495</v>
      </c>
      <c r="C597" s="202" t="s">
        <v>1495</v>
      </c>
      <c r="D597" s="202" t="s">
        <v>237</v>
      </c>
      <c r="E597" s="202" t="s">
        <v>1496</v>
      </c>
      <c r="F597" s="202" t="s">
        <v>159</v>
      </c>
      <c r="G597" s="202"/>
      <c r="H597" s="202" t="s">
        <v>1017</v>
      </c>
      <c r="I597" s="182" t="s">
        <v>486</v>
      </c>
      <c r="J597" s="223" t="str">
        <f t="shared" si="22"/>
        <v>TungstenHunan Jintai New Material Co., Ltd.</v>
      </c>
      <c r="K597" s="223" t="str">
        <f t="shared" si="23"/>
        <v>TungstenHunan Jintai New Material Co., Ltd.</v>
      </c>
    </row>
    <row r="598" spans="1:11">
      <c r="A598" s="202" t="s">
        <v>133</v>
      </c>
      <c r="B598" s="202" t="s">
        <v>1448</v>
      </c>
      <c r="C598" s="202" t="s">
        <v>1448</v>
      </c>
      <c r="D598" s="202" t="s">
        <v>237</v>
      </c>
      <c r="E598" s="202" t="s">
        <v>1449</v>
      </c>
      <c r="F598" s="202" t="s">
        <v>159</v>
      </c>
      <c r="G598" s="202"/>
      <c r="H598" s="202" t="s">
        <v>491</v>
      </c>
      <c r="I598" s="182" t="s">
        <v>486</v>
      </c>
      <c r="J598" s="223" t="str">
        <f t="shared" si="22"/>
        <v>TungstenHunan Shizhuyuan Nonferrous Metals Co., Ltd. Chenzhou Tungsten Products Branch</v>
      </c>
      <c r="K598" s="223" t="str">
        <f t="shared" si="23"/>
        <v>TungstenHunan Shizhuyuan Nonferrous Metals Co., Ltd. Chenzhou Tungsten Products Branch</v>
      </c>
    </row>
    <row r="599" spans="1:11">
      <c r="A599" s="202" t="s">
        <v>133</v>
      </c>
      <c r="B599" s="202" t="s">
        <v>1499</v>
      </c>
      <c r="C599" s="202" t="s">
        <v>1499</v>
      </c>
      <c r="D599" s="202" t="s">
        <v>388</v>
      </c>
      <c r="E599" s="202" t="s">
        <v>1500</v>
      </c>
      <c r="F599" s="202" t="s">
        <v>159</v>
      </c>
      <c r="G599" s="202"/>
      <c r="H599" s="202" t="s">
        <v>1501</v>
      </c>
      <c r="I599" s="182" t="s">
        <v>1502</v>
      </c>
      <c r="J599" s="223" t="str">
        <f t="shared" si="22"/>
        <v>TungstenHydrometallurg, JSC</v>
      </c>
      <c r="K599" s="223" t="str">
        <f t="shared" si="23"/>
        <v>TungstenHydrometallurg, JSC</v>
      </c>
    </row>
    <row r="600" spans="1:11">
      <c r="A600" s="202" t="s">
        <v>133</v>
      </c>
      <c r="B600" s="202" t="s">
        <v>1503</v>
      </c>
      <c r="C600" s="202" t="s">
        <v>1503</v>
      </c>
      <c r="D600" s="202" t="s">
        <v>193</v>
      </c>
      <c r="E600" s="202" t="s">
        <v>1504</v>
      </c>
      <c r="F600" s="202" t="s">
        <v>159</v>
      </c>
      <c r="G600" s="202"/>
      <c r="H600" s="202" t="s">
        <v>1505</v>
      </c>
      <c r="I600" s="182" t="s">
        <v>201</v>
      </c>
      <c r="J600" s="223" t="str">
        <f t="shared" si="22"/>
        <v>TungstenJapan New Metals Co., Ltd.</v>
      </c>
      <c r="K600" s="223" t="str">
        <f t="shared" si="23"/>
        <v>TungstenJapan New Metals Co., Ltd.</v>
      </c>
    </row>
    <row r="601" spans="1:11">
      <c r="A601" s="202" t="s">
        <v>133</v>
      </c>
      <c r="B601" s="202" t="s">
        <v>1506</v>
      </c>
      <c r="C601" s="202" t="s">
        <v>1506</v>
      </c>
      <c r="D601" s="202" t="s">
        <v>237</v>
      </c>
      <c r="E601" s="202" t="s">
        <v>1507</v>
      </c>
      <c r="F601" s="202" t="s">
        <v>159</v>
      </c>
      <c r="G601" s="202"/>
      <c r="H601" s="202" t="s">
        <v>1248</v>
      </c>
      <c r="I601" s="182" t="s">
        <v>526</v>
      </c>
      <c r="J601" s="223" t="str">
        <f t="shared" si="22"/>
        <v>TungstenJiangwu H.C. Starck Tungsten Products Co., Ltd.</v>
      </c>
      <c r="K601" s="223" t="str">
        <f t="shared" si="23"/>
        <v>TungstenJiangwu H.C. Starck Tungsten Products Co., Ltd.</v>
      </c>
    </row>
    <row r="602" spans="1:11">
      <c r="A602" s="202" t="s">
        <v>133</v>
      </c>
      <c r="B602" s="202" t="s">
        <v>1508</v>
      </c>
      <c r="C602" s="202" t="s">
        <v>1508</v>
      </c>
      <c r="D602" s="202" t="s">
        <v>237</v>
      </c>
      <c r="E602" s="202" t="s">
        <v>1509</v>
      </c>
      <c r="F602" s="202" t="s">
        <v>159</v>
      </c>
      <c r="G602" s="202"/>
      <c r="H602" s="202" t="s">
        <v>1510</v>
      </c>
      <c r="I602" s="182" t="s">
        <v>526</v>
      </c>
      <c r="J602" s="223" t="str">
        <f t="shared" si="22"/>
        <v>TungstenJiangxi Gan Bei Tungsten Co., Ltd.</v>
      </c>
      <c r="K602" s="223" t="str">
        <f t="shared" si="23"/>
        <v>TungstenJiangxi Gan Bei Tungsten Co., Ltd.</v>
      </c>
    </row>
    <row r="603" spans="1:11">
      <c r="A603" s="202" t="s">
        <v>133</v>
      </c>
      <c r="B603" s="202" t="s">
        <v>1511</v>
      </c>
      <c r="C603" s="202" t="s">
        <v>1511</v>
      </c>
      <c r="D603" s="202" t="s">
        <v>237</v>
      </c>
      <c r="E603" s="202" t="s">
        <v>1512</v>
      </c>
      <c r="F603" s="202" t="s">
        <v>159</v>
      </c>
      <c r="G603" s="202"/>
      <c r="H603" s="202" t="s">
        <v>1513</v>
      </c>
      <c r="I603" s="182" t="s">
        <v>526</v>
      </c>
      <c r="J603" s="223" t="str">
        <f t="shared" si="22"/>
        <v>TungstenJiangxi Minmetals Gao'an Non-ferrous Metals Co., Ltd.</v>
      </c>
      <c r="K603" s="223" t="str">
        <f t="shared" si="23"/>
        <v>TungstenJiangxi Minmetals Gao'an Non-ferrous Metals Co., Ltd.</v>
      </c>
    </row>
    <row r="604" spans="1:11">
      <c r="A604" s="202" t="s">
        <v>133</v>
      </c>
      <c r="B604" s="202" t="s">
        <v>1514</v>
      </c>
      <c r="C604" s="202" t="s">
        <v>1514</v>
      </c>
      <c r="D604" s="202" t="s">
        <v>237</v>
      </c>
      <c r="E604" s="202" t="s">
        <v>1515</v>
      </c>
      <c r="F604" s="202" t="s">
        <v>159</v>
      </c>
      <c r="G604" s="202"/>
      <c r="H604" s="202" t="s">
        <v>1516</v>
      </c>
      <c r="I604" s="182" t="s">
        <v>526</v>
      </c>
      <c r="J604" s="223" t="str">
        <f t="shared" si="22"/>
        <v>TungstenJiangxi Tonggu Non-ferrous Metallurgical &amp; Chemical Co., Ltd.</v>
      </c>
      <c r="K604" s="223" t="str">
        <f t="shared" si="23"/>
        <v>TungstenJiangxi Tonggu Non-ferrous Metallurgical &amp; Chemical Co., Ltd.</v>
      </c>
    </row>
    <row r="605" spans="1:11">
      <c r="A605" s="202" t="s">
        <v>133</v>
      </c>
      <c r="B605" s="202" t="s">
        <v>1517</v>
      </c>
      <c r="C605" s="202" t="s">
        <v>1474</v>
      </c>
      <c r="D605" s="202" t="s">
        <v>237</v>
      </c>
      <c r="E605" s="202" t="s">
        <v>1475</v>
      </c>
      <c r="F605" s="202" t="s">
        <v>159</v>
      </c>
      <c r="G605" s="202"/>
      <c r="H605" s="202" t="s">
        <v>1248</v>
      </c>
      <c r="I605" s="182" t="s">
        <v>526</v>
      </c>
      <c r="J605" s="223" t="str">
        <f t="shared" si="22"/>
        <v>TungstenJiangxi Tungsten Co Ltd</v>
      </c>
      <c r="K605" s="223" t="str">
        <f t="shared" si="23"/>
        <v>TungstenJiangxi Tungsten Co Ltd</v>
      </c>
    </row>
    <row r="606" spans="1:11">
      <c r="A606" s="202" t="s">
        <v>133</v>
      </c>
      <c r="B606" s="202" t="s">
        <v>1518</v>
      </c>
      <c r="C606" s="202" t="s">
        <v>1474</v>
      </c>
      <c r="D606" s="202" t="s">
        <v>237</v>
      </c>
      <c r="E606" s="202" t="s">
        <v>1475</v>
      </c>
      <c r="F606" s="202" t="s">
        <v>159</v>
      </c>
      <c r="G606" s="202"/>
      <c r="H606" s="202" t="s">
        <v>1248</v>
      </c>
      <c r="I606" s="182" t="s">
        <v>526</v>
      </c>
      <c r="J606" s="223" t="str">
        <f t="shared" si="22"/>
        <v>TungstenJiangxi Tungsten Industry Group Co. Ltd.</v>
      </c>
      <c r="K606" s="223" t="str">
        <f t="shared" si="23"/>
        <v>TungstenJiangxi Tungsten Industry Group Co. Ltd.</v>
      </c>
    </row>
    <row r="607" spans="1:11">
      <c r="A607" s="202" t="s">
        <v>133</v>
      </c>
      <c r="B607" s="202" t="s">
        <v>1519</v>
      </c>
      <c r="C607" s="202" t="s">
        <v>1519</v>
      </c>
      <c r="D607" s="202" t="s">
        <v>237</v>
      </c>
      <c r="E607" s="202" t="s">
        <v>1520</v>
      </c>
      <c r="F607" s="202" t="s">
        <v>159</v>
      </c>
      <c r="G607" s="202"/>
      <c r="H607" s="202" t="s">
        <v>1248</v>
      </c>
      <c r="I607" s="182" t="s">
        <v>526</v>
      </c>
      <c r="J607" s="223" t="str">
        <f t="shared" si="22"/>
        <v>TungstenJiangxi Xinsheng Tungsten Industry Co., Ltd.</v>
      </c>
      <c r="K607" s="223" t="str">
        <f t="shared" si="23"/>
        <v>TungstenJiangxi Xinsheng Tungsten Industry Co., Ltd.</v>
      </c>
    </row>
    <row r="608" spans="1:11">
      <c r="A608" s="202" t="s">
        <v>133</v>
      </c>
      <c r="B608" s="202" t="s">
        <v>1521</v>
      </c>
      <c r="C608" s="202" t="s">
        <v>1521</v>
      </c>
      <c r="D608" s="202" t="s">
        <v>237</v>
      </c>
      <c r="E608" s="202" t="s">
        <v>1522</v>
      </c>
      <c r="F608" s="202" t="s">
        <v>159</v>
      </c>
      <c r="G608" s="202"/>
      <c r="H608" s="202" t="s">
        <v>1248</v>
      </c>
      <c r="I608" s="182" t="s">
        <v>526</v>
      </c>
      <c r="J608" s="223" t="str">
        <f t="shared" si="22"/>
        <v>TungstenJiangxi Yaosheng Tungsten Co., Ltd.</v>
      </c>
      <c r="K608" s="223" t="str">
        <f t="shared" si="23"/>
        <v>TungstenJiangxi Yaosheng Tungsten Co., Ltd.</v>
      </c>
    </row>
    <row r="609" spans="1:11">
      <c r="A609" s="202" t="s">
        <v>133</v>
      </c>
      <c r="B609" s="202" t="s">
        <v>1523</v>
      </c>
      <c r="C609" s="202" t="s">
        <v>1481</v>
      </c>
      <c r="D609" s="202" t="s">
        <v>237</v>
      </c>
      <c r="E609" s="202" t="s">
        <v>1482</v>
      </c>
      <c r="F609" s="202" t="s">
        <v>159</v>
      </c>
      <c r="G609" s="202"/>
      <c r="H609" s="202" t="s">
        <v>839</v>
      </c>
      <c r="I609" s="182" t="s">
        <v>454</v>
      </c>
      <c r="J609" s="223" t="str">
        <f t="shared" si="22"/>
        <v>TungstenJingmen Dewei GEM Tungsten Resources Recycling Co., Ltd.</v>
      </c>
      <c r="K609" s="223" t="str">
        <f t="shared" si="23"/>
        <v>TungstenJingmen Dewei GEM Tungsten Resources Recycling Co., Ltd.</v>
      </c>
    </row>
    <row r="610" spans="1:11">
      <c r="A610" s="202" t="s">
        <v>133</v>
      </c>
      <c r="B610" s="202" t="s">
        <v>1524</v>
      </c>
      <c r="C610" s="202" t="s">
        <v>1524</v>
      </c>
      <c r="D610" s="202" t="s">
        <v>388</v>
      </c>
      <c r="E610" s="202" t="s">
        <v>1525</v>
      </c>
      <c r="F610" s="202" t="s">
        <v>159</v>
      </c>
      <c r="G610" s="202"/>
      <c r="H610" s="202" t="s">
        <v>1526</v>
      </c>
      <c r="I610" s="182" t="s">
        <v>391</v>
      </c>
      <c r="J610" s="223" t="str">
        <f t="shared" si="22"/>
        <v>TungstenJSC "Kirovgrad Hard Alloys Plant"</v>
      </c>
      <c r="K610" s="223" t="str">
        <f t="shared" si="23"/>
        <v>TungstenJSC "Kirovgrad Hard Alloys Plant"</v>
      </c>
    </row>
    <row r="611" spans="1:11">
      <c r="A611" s="202" t="s">
        <v>133</v>
      </c>
      <c r="B611" s="202" t="s">
        <v>1527</v>
      </c>
      <c r="C611" s="202" t="s">
        <v>1527</v>
      </c>
      <c r="D611" s="202" t="s">
        <v>168</v>
      </c>
      <c r="E611" s="202" t="s">
        <v>1528</v>
      </c>
      <c r="F611" s="202" t="s">
        <v>159</v>
      </c>
      <c r="G611" s="202"/>
      <c r="H611" s="202" t="s">
        <v>1529</v>
      </c>
      <c r="I611" s="182" t="s">
        <v>1530</v>
      </c>
      <c r="J611" s="223" t="str">
        <f t="shared" si="22"/>
        <v>TungstenKennametal Fallon</v>
      </c>
      <c r="K611" s="223" t="str">
        <f t="shared" si="23"/>
        <v>TungstenKennametal Fallon</v>
      </c>
    </row>
    <row r="612" spans="1:11">
      <c r="A612" s="202" t="s">
        <v>133</v>
      </c>
      <c r="B612" s="202" t="s">
        <v>1439</v>
      </c>
      <c r="C612" s="202" t="s">
        <v>1439</v>
      </c>
      <c r="D612" s="202" t="s">
        <v>168</v>
      </c>
      <c r="E612" s="202" t="s">
        <v>1440</v>
      </c>
      <c r="F612" s="202" t="s">
        <v>159</v>
      </c>
      <c r="G612" s="202"/>
      <c r="H612" s="202" t="s">
        <v>1441</v>
      </c>
      <c r="I612" s="182" t="s">
        <v>1442</v>
      </c>
      <c r="J612" s="223" t="str">
        <f t="shared" si="22"/>
        <v>TungstenKennametal Huntsville</v>
      </c>
      <c r="K612" s="223" t="str">
        <f t="shared" si="23"/>
        <v>TungstenKennametal Huntsville</v>
      </c>
    </row>
    <row r="613" spans="1:11">
      <c r="A613" s="202" t="s">
        <v>133</v>
      </c>
      <c r="B613" s="202" t="s">
        <v>1531</v>
      </c>
      <c r="C613" s="202" t="s">
        <v>1531</v>
      </c>
      <c r="D613" s="202" t="s">
        <v>858</v>
      </c>
      <c r="E613" s="202" t="s">
        <v>1532</v>
      </c>
      <c r="F613" s="202" t="s">
        <v>159</v>
      </c>
      <c r="G613" s="202"/>
      <c r="H613" s="202" t="s">
        <v>1533</v>
      </c>
      <c r="I613" s="182" t="s">
        <v>1534</v>
      </c>
      <c r="J613" s="223" t="str">
        <f t="shared" si="22"/>
        <v>TungstenLianyou Metals Co., Ltd.</v>
      </c>
      <c r="K613" s="223" t="str">
        <f t="shared" si="23"/>
        <v>TungstenLianyou Metals Co., Ltd.</v>
      </c>
    </row>
    <row r="614" spans="1:11">
      <c r="A614" s="202" t="s">
        <v>133</v>
      </c>
      <c r="B614" s="202" t="s">
        <v>1535</v>
      </c>
      <c r="C614" s="202" t="s">
        <v>1535</v>
      </c>
      <c r="D614" s="202" t="s">
        <v>388</v>
      </c>
      <c r="E614" s="202" t="s">
        <v>1536</v>
      </c>
      <c r="F614" s="202" t="s">
        <v>159</v>
      </c>
      <c r="G614" s="202"/>
      <c r="H614" s="202" t="s">
        <v>1537</v>
      </c>
      <c r="I614" s="182" t="s">
        <v>1538</v>
      </c>
      <c r="J614" s="223" t="str">
        <f t="shared" si="22"/>
        <v>TungstenLLC Vostok</v>
      </c>
      <c r="K614" s="223" t="str">
        <f t="shared" si="23"/>
        <v>TungstenLLC Vostok</v>
      </c>
    </row>
    <row r="615" spans="1:11">
      <c r="A615" s="202" t="s">
        <v>133</v>
      </c>
      <c r="B615" s="202" t="s">
        <v>1539</v>
      </c>
      <c r="C615" s="202" t="s">
        <v>1539</v>
      </c>
      <c r="D615" s="202" t="s">
        <v>237</v>
      </c>
      <c r="E615" s="202" t="s">
        <v>1540</v>
      </c>
      <c r="F615" s="202" t="s">
        <v>159</v>
      </c>
      <c r="G615" s="202"/>
      <c r="H615" s="202" t="s">
        <v>1541</v>
      </c>
      <c r="I615" s="182" t="s">
        <v>328</v>
      </c>
      <c r="J615" s="223" t="str">
        <f t="shared" si="22"/>
        <v>TungstenMalipo Haiyu Tungsten Co., Ltd.</v>
      </c>
      <c r="K615" s="223" t="str">
        <f t="shared" si="23"/>
        <v>TungstenMalipo Haiyu Tungsten Co., Ltd.</v>
      </c>
    </row>
    <row r="616" spans="1:11">
      <c r="A616" s="202" t="s">
        <v>133</v>
      </c>
      <c r="B616" s="202" t="s">
        <v>1542</v>
      </c>
      <c r="C616" s="202" t="s">
        <v>1542</v>
      </c>
      <c r="D616" s="202" t="s">
        <v>1111</v>
      </c>
      <c r="E616" s="202" t="s">
        <v>1543</v>
      </c>
      <c r="F616" s="202" t="s">
        <v>159</v>
      </c>
      <c r="G616" s="202"/>
      <c r="H616" s="202" t="s">
        <v>1544</v>
      </c>
      <c r="I616" s="182" t="s">
        <v>1545</v>
      </c>
      <c r="J616" s="223" t="str">
        <f t="shared" si="22"/>
        <v>TungstenMasan High-Tech Materials</v>
      </c>
      <c r="K616" s="223" t="str">
        <f t="shared" si="23"/>
        <v>TungstenMasan High-Tech Materials</v>
      </c>
    </row>
    <row r="617" spans="1:11">
      <c r="A617" s="202" t="s">
        <v>133</v>
      </c>
      <c r="B617" s="202" t="s">
        <v>1546</v>
      </c>
      <c r="C617" s="202" t="s">
        <v>1542</v>
      </c>
      <c r="D617" s="202" t="s">
        <v>1111</v>
      </c>
      <c r="E617" s="202" t="s">
        <v>1543</v>
      </c>
      <c r="F617" s="202" t="s">
        <v>159</v>
      </c>
      <c r="G617" s="202"/>
      <c r="H617" s="202" t="s">
        <v>1544</v>
      </c>
      <c r="I617" s="182" t="s">
        <v>1545</v>
      </c>
      <c r="J617" s="223" t="str">
        <f t="shared" si="22"/>
        <v>TungstenMasan Tungsten Chemical LLC (MTC)</v>
      </c>
      <c r="K617" s="223" t="str">
        <f t="shared" si="23"/>
        <v>TungstenMasan Tungsten Chemical LLC (MTC)</v>
      </c>
    </row>
    <row r="618" spans="1:11">
      <c r="A618" s="182" t="s">
        <v>133</v>
      </c>
      <c r="B618" s="182" t="s">
        <v>1547</v>
      </c>
      <c r="C618" s="182" t="s">
        <v>1547</v>
      </c>
      <c r="D618" s="182" t="s">
        <v>388</v>
      </c>
      <c r="E618" s="182" t="s">
        <v>1548</v>
      </c>
      <c r="F618" s="202" t="s">
        <v>159</v>
      </c>
      <c r="H618" s="273" t="s">
        <v>1549</v>
      </c>
      <c r="I618" s="273" t="s">
        <v>853</v>
      </c>
      <c r="J618" s="223" t="str">
        <f t="shared" si="22"/>
        <v>TungstenMoliren Ltd.</v>
      </c>
      <c r="K618" s="223" t="str">
        <f t="shared" si="23"/>
        <v>TungstenMoliren Ltd.</v>
      </c>
    </row>
    <row r="619" spans="1:11">
      <c r="A619" s="182" t="s">
        <v>133</v>
      </c>
      <c r="B619" s="182" t="s">
        <v>1550</v>
      </c>
      <c r="C619" s="182" t="s">
        <v>1550</v>
      </c>
      <c r="D619" s="182" t="s">
        <v>1111</v>
      </c>
      <c r="E619" s="182" t="s">
        <v>1551</v>
      </c>
      <c r="F619" s="202" t="s">
        <v>159</v>
      </c>
      <c r="H619" s="202" t="s">
        <v>1552</v>
      </c>
      <c r="I619" s="202" t="s">
        <v>1553</v>
      </c>
      <c r="J619" s="223" t="str">
        <f t="shared" si="22"/>
        <v>TungstenNam Viet Cromit Joint Stock Company</v>
      </c>
      <c r="K619" s="223" t="str">
        <f t="shared" si="23"/>
        <v>TungstenNam Viet Cromit Joint Stock Company</v>
      </c>
    </row>
    <row r="620" spans="1:11">
      <c r="A620" s="182" t="s">
        <v>133</v>
      </c>
      <c r="B620" s="182" t="s">
        <v>1554</v>
      </c>
      <c r="C620" s="182" t="s">
        <v>1550</v>
      </c>
      <c r="D620" s="182" t="s">
        <v>1111</v>
      </c>
      <c r="E620" s="182" t="s">
        <v>1551</v>
      </c>
      <c r="F620" s="202" t="s">
        <v>159</v>
      </c>
      <c r="H620" s="202" t="s">
        <v>1552</v>
      </c>
      <c r="I620" s="202" t="s">
        <v>1553</v>
      </c>
      <c r="J620" s="223" t="str">
        <f t="shared" si="22"/>
        <v>TungstenNan Viet Ferrochrome Co., Ltd.</v>
      </c>
      <c r="K620" s="223" t="str">
        <f t="shared" si="23"/>
        <v>TungstenNan Viet Ferrochrome Co., Ltd.</v>
      </c>
    </row>
    <row r="621" spans="1:11">
      <c r="A621" s="182" t="s">
        <v>133</v>
      </c>
      <c r="B621" s="182" t="s">
        <v>1555</v>
      </c>
      <c r="C621" s="182" t="s">
        <v>1555</v>
      </c>
      <c r="D621" s="182" t="s">
        <v>168</v>
      </c>
      <c r="E621" s="182" t="s">
        <v>1556</v>
      </c>
      <c r="F621" s="202" t="s">
        <v>159</v>
      </c>
      <c r="H621" s="273" t="s">
        <v>1557</v>
      </c>
      <c r="I621" s="273" t="s">
        <v>619</v>
      </c>
      <c r="J621" s="223" t="str">
        <f t="shared" si="22"/>
        <v>TungstenNiagara Refining LLC</v>
      </c>
      <c r="K621" s="223" t="str">
        <f t="shared" si="23"/>
        <v>TungstenNiagara Refining LLC</v>
      </c>
    </row>
    <row r="622" spans="1:11">
      <c r="A622" s="182" t="s">
        <v>133</v>
      </c>
      <c r="B622" s="182" t="s">
        <v>1558</v>
      </c>
      <c r="C622" s="182" t="s">
        <v>1558</v>
      </c>
      <c r="D622" s="182" t="s">
        <v>388</v>
      </c>
      <c r="E622" s="182" t="s">
        <v>1559</v>
      </c>
      <c r="F622" s="202" t="s">
        <v>159</v>
      </c>
      <c r="H622" s="273" t="s">
        <v>1560</v>
      </c>
      <c r="I622" s="273" t="s">
        <v>1561</v>
      </c>
      <c r="J622" s="223" t="str">
        <f t="shared" si="22"/>
        <v>TungstenNPP Tyazhmetprom LLC</v>
      </c>
      <c r="K622" s="223" t="str">
        <f t="shared" si="23"/>
        <v>TungstenNPP Tyazhmetprom LLC</v>
      </c>
    </row>
    <row r="623" spans="1:11">
      <c r="A623" s="182" t="s">
        <v>133</v>
      </c>
      <c r="B623" s="182" t="s">
        <v>1562</v>
      </c>
      <c r="C623" s="182" t="s">
        <v>1542</v>
      </c>
      <c r="D623" s="182" t="s">
        <v>1111</v>
      </c>
      <c r="E623" s="182" t="s">
        <v>1543</v>
      </c>
      <c r="F623" s="202" t="s">
        <v>159</v>
      </c>
      <c r="H623" s="273" t="s">
        <v>1544</v>
      </c>
      <c r="I623" s="273" t="s">
        <v>1545</v>
      </c>
      <c r="J623" s="223" t="str">
        <f t="shared" si="22"/>
        <v>TungstenNui Phao H.C. Starck Tungsten Chemicals Manufacturing LLC</v>
      </c>
      <c r="K623" s="223" t="str">
        <f t="shared" si="23"/>
        <v>TungstenNui Phao H.C. Starck Tungsten Chemicals Manufacturing LLC</v>
      </c>
    </row>
    <row r="624" spans="1:11">
      <c r="A624" s="182" t="s">
        <v>133</v>
      </c>
      <c r="B624" s="182" t="s">
        <v>1563</v>
      </c>
      <c r="C624" s="182" t="s">
        <v>1563</v>
      </c>
      <c r="D624" s="182" t="s">
        <v>388</v>
      </c>
      <c r="E624" s="182" t="s">
        <v>1564</v>
      </c>
      <c r="F624" s="202" t="s">
        <v>159</v>
      </c>
      <c r="H624" s="273" t="s">
        <v>1565</v>
      </c>
      <c r="I624" s="273" t="s">
        <v>853</v>
      </c>
      <c r="J624" s="223" t="str">
        <f t="shared" si="22"/>
        <v>TungstenOOO “Technolom” 1</v>
      </c>
      <c r="K624" s="223" t="str">
        <f t="shared" si="23"/>
        <v>TungstenOOO “Technolom” 1</v>
      </c>
    </row>
    <row r="625" spans="1:11">
      <c r="A625" s="182" t="s">
        <v>133</v>
      </c>
      <c r="B625" s="182" t="s">
        <v>1566</v>
      </c>
      <c r="C625" s="182" t="s">
        <v>1566</v>
      </c>
      <c r="D625" s="182" t="s">
        <v>388</v>
      </c>
      <c r="E625" s="182" t="s">
        <v>1567</v>
      </c>
      <c r="F625" s="202" t="s">
        <v>159</v>
      </c>
      <c r="H625" s="273" t="s">
        <v>1565</v>
      </c>
      <c r="I625" s="273" t="s">
        <v>853</v>
      </c>
      <c r="J625" s="223" t="str">
        <f t="shared" si="22"/>
        <v>TungstenOOO “Technolom” 2</v>
      </c>
      <c r="K625" s="223" t="str">
        <f t="shared" si="23"/>
        <v>TungstenOOO “Technolom” 2</v>
      </c>
    </row>
    <row r="626" spans="1:11">
      <c r="A626" s="182" t="s">
        <v>133</v>
      </c>
      <c r="B626" s="182" t="s">
        <v>1568</v>
      </c>
      <c r="C626" s="182" t="s">
        <v>1568</v>
      </c>
      <c r="D626" s="182" t="s">
        <v>287</v>
      </c>
      <c r="E626" s="182" t="s">
        <v>1569</v>
      </c>
      <c r="F626" s="202" t="s">
        <v>159</v>
      </c>
      <c r="H626" s="273" t="s">
        <v>1570</v>
      </c>
      <c r="I626" s="273" t="s">
        <v>1571</v>
      </c>
      <c r="J626" s="223" t="str">
        <f t="shared" si="22"/>
        <v>TungstenPhilippine Chuangxin Industrial Co., Inc.</v>
      </c>
      <c r="K626" s="223" t="str">
        <f t="shared" si="23"/>
        <v>TungstenPhilippine Chuangxin Industrial Co., Inc.</v>
      </c>
    </row>
    <row r="627" spans="1:11">
      <c r="A627" s="182" t="s">
        <v>133</v>
      </c>
      <c r="B627" s="182" t="s">
        <v>1007</v>
      </c>
      <c r="C627" s="182" t="s">
        <v>1007</v>
      </c>
      <c r="D627" s="182" t="s">
        <v>182</v>
      </c>
      <c r="E627" s="182" t="s">
        <v>1487</v>
      </c>
      <c r="F627" s="202" t="s">
        <v>159</v>
      </c>
      <c r="H627" s="273" t="s">
        <v>1009</v>
      </c>
      <c r="I627" s="273" t="s">
        <v>185</v>
      </c>
      <c r="J627" s="223" t="str">
        <f t="shared" si="22"/>
        <v>TungstenTANIOBIS Smelting GmbH &amp; Co. KG</v>
      </c>
      <c r="K627" s="223" t="str">
        <f t="shared" si="23"/>
        <v>TungstenTANIOBIS Smelting GmbH &amp; Co. KG</v>
      </c>
    </row>
    <row r="628" spans="1:11">
      <c r="A628" s="182" t="s">
        <v>133</v>
      </c>
      <c r="B628" s="182" t="s">
        <v>1572</v>
      </c>
      <c r="C628" s="182" t="s">
        <v>1572</v>
      </c>
      <c r="D628" s="182" t="s">
        <v>1111</v>
      </c>
      <c r="E628" s="182" t="s">
        <v>1573</v>
      </c>
      <c r="F628" s="202" t="s">
        <v>159</v>
      </c>
      <c r="H628" s="273" t="s">
        <v>1574</v>
      </c>
      <c r="I628" s="273" t="s">
        <v>1545</v>
      </c>
      <c r="J628" s="223" t="str">
        <f t="shared" si="22"/>
        <v>TungstenTungsten Vietnam Joint Stock Company</v>
      </c>
      <c r="K628" s="223" t="str">
        <f t="shared" si="23"/>
        <v>TungstenTungsten Vietnam Joint Stock Company</v>
      </c>
    </row>
    <row r="629" spans="1:11">
      <c r="A629" s="182" t="s">
        <v>133</v>
      </c>
      <c r="B629" s="182" t="s">
        <v>1575</v>
      </c>
      <c r="C629" s="182" t="s">
        <v>1575</v>
      </c>
      <c r="D629" s="182" t="s">
        <v>388</v>
      </c>
      <c r="E629" s="182" t="s">
        <v>1576</v>
      </c>
      <c r="F629" s="202" t="s">
        <v>159</v>
      </c>
      <c r="H629" s="273" t="s">
        <v>1577</v>
      </c>
      <c r="I629" s="273" t="s">
        <v>1578</v>
      </c>
      <c r="J629" s="223" t="str">
        <f t="shared" si="22"/>
        <v>TungstenUnecha Refractory metals plant</v>
      </c>
      <c r="K629" s="223" t="str">
        <f t="shared" si="23"/>
        <v>TungstenUnecha Refractory metals plant</v>
      </c>
    </row>
    <row r="630" spans="1:11">
      <c r="A630" s="182" t="s">
        <v>133</v>
      </c>
      <c r="B630" s="182" t="s">
        <v>1579</v>
      </c>
      <c r="C630" s="182" t="s">
        <v>1580</v>
      </c>
      <c r="D630" s="182" t="s">
        <v>713</v>
      </c>
      <c r="E630" s="182" t="s">
        <v>1581</v>
      </c>
      <c r="F630" s="202" t="s">
        <v>159</v>
      </c>
      <c r="H630" s="273" t="s">
        <v>1582</v>
      </c>
      <c r="I630" s="273" t="s">
        <v>1583</v>
      </c>
      <c r="J630" s="223" t="str">
        <f t="shared" si="22"/>
        <v>TungstenWBH</v>
      </c>
      <c r="K630" s="223" t="str">
        <f t="shared" si="23"/>
        <v>TungstenWBH</v>
      </c>
    </row>
    <row r="631" spans="1:11">
      <c r="A631" s="182" t="s">
        <v>133</v>
      </c>
      <c r="B631" s="182" t="s">
        <v>1584</v>
      </c>
      <c r="C631" s="182" t="s">
        <v>1580</v>
      </c>
      <c r="D631" s="182" t="s">
        <v>713</v>
      </c>
      <c r="E631" s="182" t="s">
        <v>1581</v>
      </c>
      <c r="F631" s="202" t="s">
        <v>159</v>
      </c>
      <c r="H631" s="273" t="s">
        <v>1582</v>
      </c>
      <c r="I631" s="273" t="s">
        <v>1583</v>
      </c>
      <c r="J631" s="223" t="str">
        <f t="shared" si="22"/>
        <v>TungstenWBH,Wolfram [Austria]</v>
      </c>
      <c r="K631" s="223" t="str">
        <f t="shared" si="23"/>
        <v>TungstenWBH,Wolfram [Austria]</v>
      </c>
    </row>
    <row r="632" spans="1:11">
      <c r="A632" s="182" t="s">
        <v>133</v>
      </c>
      <c r="B632" s="182" t="s">
        <v>1580</v>
      </c>
      <c r="C632" s="182" t="s">
        <v>1580</v>
      </c>
      <c r="D632" s="182" t="s">
        <v>713</v>
      </c>
      <c r="E632" s="182" t="s">
        <v>1581</v>
      </c>
      <c r="F632" s="202" t="s">
        <v>159</v>
      </c>
      <c r="H632" s="182" t="s">
        <v>1582</v>
      </c>
      <c r="I632" s="182" t="s">
        <v>1583</v>
      </c>
      <c r="J632" s="223" t="str">
        <f t="shared" si="22"/>
        <v>TungstenWolfram Bergbau und Hutten AG</v>
      </c>
      <c r="K632" s="223" t="str">
        <f t="shared" si="23"/>
        <v>TungstenWolfram Bergbau und Hutten AG</v>
      </c>
    </row>
    <row r="633" spans="1:11">
      <c r="A633" s="182" t="s">
        <v>133</v>
      </c>
      <c r="B633" s="182" t="s">
        <v>1585</v>
      </c>
      <c r="C633" s="182" t="s">
        <v>1580</v>
      </c>
      <c r="D633" s="182" t="s">
        <v>713</v>
      </c>
      <c r="E633" s="182" t="s">
        <v>1581</v>
      </c>
      <c r="F633" s="202" t="s">
        <v>159</v>
      </c>
      <c r="H633" s="182" t="s">
        <v>1582</v>
      </c>
      <c r="I633" s="182" t="s">
        <v>1583</v>
      </c>
      <c r="J633" s="223" t="str">
        <f t="shared" si="22"/>
        <v>TungstenWolfram Bergbau und Hütten AG</v>
      </c>
      <c r="K633" s="223" t="str">
        <f t="shared" si="23"/>
        <v>TungstenWolfram Bergbau und Hütten AG</v>
      </c>
    </row>
    <row r="634" spans="1:11">
      <c r="A634" s="182" t="s">
        <v>133</v>
      </c>
      <c r="B634" s="182" t="s">
        <v>1586</v>
      </c>
      <c r="C634" s="182" t="s">
        <v>1587</v>
      </c>
      <c r="D634" s="182" t="s">
        <v>237</v>
      </c>
      <c r="E634" s="182" t="s">
        <v>1588</v>
      </c>
      <c r="F634" s="202" t="s">
        <v>159</v>
      </c>
      <c r="H634" s="182" t="s">
        <v>1589</v>
      </c>
      <c r="I634" s="182" t="s">
        <v>428</v>
      </c>
      <c r="J634" s="223" t="str">
        <f t="shared" ref="J634:J639" si="24">A634&amp;B634</f>
        <v>TungstenXiamen H.C.</v>
      </c>
      <c r="K634" s="223" t="str">
        <f t="shared" ref="K634:K639" si="25">A634&amp;B634</f>
        <v>TungstenXiamen H.C.</v>
      </c>
    </row>
    <row r="635" spans="1:11">
      <c r="A635" s="182" t="s">
        <v>133</v>
      </c>
      <c r="B635" s="182" t="s">
        <v>1587</v>
      </c>
      <c r="C635" s="182" t="s">
        <v>1587</v>
      </c>
      <c r="D635" s="182" t="s">
        <v>237</v>
      </c>
      <c r="E635" s="182" t="s">
        <v>1588</v>
      </c>
      <c r="F635" s="202" t="s">
        <v>159</v>
      </c>
      <c r="H635" s="182" t="s">
        <v>1589</v>
      </c>
      <c r="I635" s="182" t="s">
        <v>428</v>
      </c>
      <c r="J635" s="223" t="str">
        <f t="shared" si="24"/>
        <v>TungstenXiamen Tungsten (H.C.) Co., Ltd.</v>
      </c>
      <c r="K635" s="223" t="str">
        <f t="shared" si="25"/>
        <v>TungstenXiamen Tungsten (H.C.) Co., Ltd.</v>
      </c>
    </row>
    <row r="636" spans="1:11">
      <c r="A636" s="182" t="s">
        <v>133</v>
      </c>
      <c r="B636" s="182" t="s">
        <v>1590</v>
      </c>
      <c r="C636" s="182" t="s">
        <v>1590</v>
      </c>
      <c r="D636" s="182" t="s">
        <v>237</v>
      </c>
      <c r="E636" s="182" t="s">
        <v>1591</v>
      </c>
      <c r="F636" s="202" t="s">
        <v>159</v>
      </c>
      <c r="H636" s="182" t="s">
        <v>1589</v>
      </c>
      <c r="I636" s="182" t="s">
        <v>428</v>
      </c>
      <c r="J636" s="223" t="str">
        <f t="shared" si="24"/>
        <v>TungstenXiamen Tungsten Co., Ltd.</v>
      </c>
      <c r="K636" s="223" t="str">
        <f t="shared" si="25"/>
        <v>TungstenXiamen Tungsten Co., Ltd.</v>
      </c>
    </row>
    <row r="637" spans="1:11">
      <c r="A637" s="182" t="s">
        <v>133</v>
      </c>
      <c r="B637" s="182" t="s">
        <v>1592</v>
      </c>
      <c r="C637" s="182" t="s">
        <v>1592</v>
      </c>
      <c r="D637" s="182" t="s">
        <v>237</v>
      </c>
      <c r="E637" s="182" t="s">
        <v>1593</v>
      </c>
      <c r="F637" s="202" t="s">
        <v>159</v>
      </c>
      <c r="H637" s="182" t="s">
        <v>1594</v>
      </c>
      <c r="I637" s="182" t="s">
        <v>526</v>
      </c>
      <c r="J637" s="223" t="str">
        <f t="shared" si="24"/>
        <v>TungstenYUDU ANSHENG TUNGSTEN CO., LTD.</v>
      </c>
      <c r="K637" s="223" t="str">
        <f t="shared" si="25"/>
        <v>TungstenYUDU ANSHENG TUNGSTEN CO., LTD.</v>
      </c>
    </row>
    <row r="638" spans="1:11">
      <c r="A638" s="182" t="s">
        <v>133</v>
      </c>
      <c r="B638" s="182" t="s">
        <v>1595</v>
      </c>
      <c r="C638" s="182" t="s">
        <v>1454</v>
      </c>
      <c r="D638" s="182" t="s">
        <v>237</v>
      </c>
      <c r="E638" s="182" t="s">
        <v>1455</v>
      </c>
      <c r="F638" s="202" t="s">
        <v>159</v>
      </c>
      <c r="H638" s="182" t="s">
        <v>1248</v>
      </c>
      <c r="I638" s="182" t="s">
        <v>526</v>
      </c>
      <c r="J638" s="223" t="str">
        <f t="shared" si="24"/>
        <v>TungstenZhangyuan Tungsten Co Ltd</v>
      </c>
      <c r="K638" s="223" t="str">
        <f t="shared" si="25"/>
        <v>TungstenZhangyuan Tungsten Co Ltd</v>
      </c>
    </row>
    <row r="639" spans="1:11">
      <c r="A639" s="182" t="s">
        <v>133</v>
      </c>
      <c r="B639" s="182" t="s">
        <v>1596</v>
      </c>
      <c r="C639" s="182" t="s">
        <v>1451</v>
      </c>
      <c r="D639" s="182" t="s">
        <v>237</v>
      </c>
      <c r="E639" s="182" t="s">
        <v>1452</v>
      </c>
      <c r="F639" s="202" t="s">
        <v>159</v>
      </c>
      <c r="H639" s="182" t="s">
        <v>609</v>
      </c>
      <c r="I639" s="182" t="s">
        <v>338</v>
      </c>
      <c r="J639" s="223" t="str">
        <f t="shared" si="24"/>
        <v>Tungsten洛阳栾川钼业集团钨业有限公司</v>
      </c>
      <c r="K639" s="223" t="str">
        <f t="shared" si="25"/>
        <v>Tungsten洛阳栾川钼业集团钨业有限公司</v>
      </c>
    </row>
    <row r="640" spans="1:11">
      <c r="A640" s="182" t="s">
        <v>133</v>
      </c>
      <c r="B640" s="182" t="s">
        <v>959</v>
      </c>
    </row>
    <row r="641" spans="1:4">
      <c r="A641" s="182" t="s">
        <v>133</v>
      </c>
      <c r="B641" s="182" t="s">
        <v>138</v>
      </c>
      <c r="C641" s="182" t="s">
        <v>119</v>
      </c>
      <c r="D641" s="182" t="s">
        <v>119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25"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48" customWidth="1"/>
    <col min="13" max="13" width="46.125" style="103" customWidth="1"/>
    <col min="14" max="15" width="8.875" style="103" customWidth="1"/>
    <col min="16" max="16384" width="8.875" style="103"/>
  </cols>
  <sheetData>
    <row r="1" spans="1:13">
      <c r="B1" s="148" t="s">
        <v>1597</v>
      </c>
      <c r="C1" s="148" t="s">
        <v>1598</v>
      </c>
      <c r="D1" s="148" t="s">
        <v>112</v>
      </c>
      <c r="E1" s="206" t="s">
        <v>1599</v>
      </c>
      <c r="F1" s="148" t="s">
        <v>1600</v>
      </c>
      <c r="G1" s="148" t="s">
        <v>1601</v>
      </c>
      <c r="H1" s="148" t="s">
        <v>1602</v>
      </c>
      <c r="I1" s="148" t="s">
        <v>1603</v>
      </c>
      <c r="J1" s="148" t="s">
        <v>1604</v>
      </c>
      <c r="K1" s="148" t="s">
        <v>1605</v>
      </c>
      <c r="L1" s="230" t="s">
        <v>1606</v>
      </c>
      <c r="M1" s="103" t="s">
        <v>1607</v>
      </c>
    </row>
    <row r="2" spans="1:13" ht="85.5">
      <c r="A2" s="148" t="str">
        <f>B2&amp;C2</f>
        <v>InstructionsA1</v>
      </c>
      <c r="B2" s="148" t="s">
        <v>1608</v>
      </c>
      <c r="C2" s="148" t="s">
        <v>1609</v>
      </c>
      <c r="D2" s="148" t="s">
        <v>1610</v>
      </c>
      <c r="E2" s="148" t="s">
        <v>1611</v>
      </c>
      <c r="F2" s="148" t="s">
        <v>1612</v>
      </c>
      <c r="G2" s="148" t="s">
        <v>1613</v>
      </c>
      <c r="H2" s="148" t="s">
        <v>1614</v>
      </c>
      <c r="I2" s="148" t="s">
        <v>1615</v>
      </c>
      <c r="J2" s="148" t="s">
        <v>1616</v>
      </c>
      <c r="K2" s="224" t="s">
        <v>1617</v>
      </c>
      <c r="L2" s="230" t="s">
        <v>1618</v>
      </c>
      <c r="M2" s="148" t="s">
        <v>1619</v>
      </c>
    </row>
    <row r="3" spans="1:13" ht="28.5">
      <c r="A3" s="148" t="str">
        <f t="shared" ref="A3" si="0">B3&amp;C3</f>
        <v>InstructionsA2</v>
      </c>
      <c r="B3" s="148" t="s">
        <v>1608</v>
      </c>
      <c r="C3" s="148" t="s">
        <v>1620</v>
      </c>
      <c r="D3" s="148" t="s">
        <v>1621</v>
      </c>
      <c r="E3" s="206" t="s">
        <v>1622</v>
      </c>
      <c r="F3" s="148" t="s">
        <v>1623</v>
      </c>
      <c r="G3" s="148" t="s">
        <v>1624</v>
      </c>
      <c r="H3" s="148" t="s">
        <v>1621</v>
      </c>
      <c r="I3" s="148" t="s">
        <v>1625</v>
      </c>
      <c r="J3" s="148" t="s">
        <v>1626</v>
      </c>
      <c r="K3" s="224" t="s">
        <v>1627</v>
      </c>
      <c r="L3" s="230" t="s">
        <v>1628</v>
      </c>
      <c r="M3" s="148" t="s">
        <v>1629</v>
      </c>
    </row>
    <row r="4" spans="1:13" ht="399">
      <c r="A4" s="148" t="str">
        <f t="shared" ref="A4:A27" si="1">B4&amp;C4</f>
        <v>InstructionsA3</v>
      </c>
      <c r="B4" s="148" t="s">
        <v>1608</v>
      </c>
      <c r="C4" s="148" t="s">
        <v>1630</v>
      </c>
      <c r="D4" s="148" t="s">
        <v>1631</v>
      </c>
      <c r="E4" s="250" t="s">
        <v>1632</v>
      </c>
      <c r="F4" s="148" t="s">
        <v>1633</v>
      </c>
      <c r="G4" s="148" t="s">
        <v>1634</v>
      </c>
      <c r="H4" s="148" t="s">
        <v>1635</v>
      </c>
      <c r="I4" s="148" t="s">
        <v>1636</v>
      </c>
      <c r="J4" s="148" t="s">
        <v>1637</v>
      </c>
      <c r="K4" s="224" t="s">
        <v>1638</v>
      </c>
      <c r="L4" s="230" t="s">
        <v>1639</v>
      </c>
      <c r="M4" s="148" t="s">
        <v>1640</v>
      </c>
    </row>
    <row r="5" spans="1:13" ht="365.25" customHeight="1">
      <c r="A5" s="148" t="str">
        <f t="shared" si="1"/>
        <v>InstructionsA4</v>
      </c>
      <c r="B5" s="148" t="s">
        <v>1608</v>
      </c>
      <c r="C5" s="148" t="s">
        <v>1641</v>
      </c>
      <c r="D5" s="148" t="s">
        <v>1642</v>
      </c>
      <c r="E5" s="148" t="s">
        <v>1643</v>
      </c>
      <c r="F5" s="148" t="s">
        <v>1644</v>
      </c>
      <c r="G5" s="148" t="s">
        <v>1645</v>
      </c>
      <c r="H5" s="148" t="s">
        <v>1646</v>
      </c>
      <c r="I5" s="148" t="s">
        <v>1647</v>
      </c>
      <c r="J5" s="148" t="s">
        <v>1648</v>
      </c>
      <c r="K5" s="148" t="s">
        <v>1649</v>
      </c>
      <c r="L5" s="148" t="s">
        <v>1650</v>
      </c>
      <c r="M5" s="148" t="s">
        <v>1651</v>
      </c>
    </row>
    <row r="6" spans="1:13" ht="42.75">
      <c r="A6" s="148" t="str">
        <f t="shared" si="1"/>
        <v>InstructionsA6</v>
      </c>
      <c r="B6" s="148" t="s">
        <v>1608</v>
      </c>
      <c r="C6" s="148" t="s">
        <v>1652</v>
      </c>
      <c r="D6" s="148" t="s">
        <v>1653</v>
      </c>
      <c r="E6" s="206" t="s">
        <v>1654</v>
      </c>
      <c r="F6" s="148" t="s">
        <v>1655</v>
      </c>
      <c r="G6" s="148" t="s">
        <v>1656</v>
      </c>
      <c r="H6" s="148" t="s">
        <v>1657</v>
      </c>
      <c r="I6" s="148" t="s">
        <v>1658</v>
      </c>
      <c r="J6" s="148" t="s">
        <v>1659</v>
      </c>
      <c r="K6" s="224" t="s">
        <v>1660</v>
      </c>
      <c r="L6" s="230" t="s">
        <v>1661</v>
      </c>
      <c r="M6" s="148" t="s">
        <v>1662</v>
      </c>
    </row>
    <row r="7" spans="1:13" ht="28.5">
      <c r="A7" s="148" t="str">
        <f t="shared" si="1"/>
        <v>InstructionsA7</v>
      </c>
      <c r="B7" s="148" t="s">
        <v>1608</v>
      </c>
      <c r="C7" s="148" t="s">
        <v>1663</v>
      </c>
      <c r="D7" s="148" t="s">
        <v>1664</v>
      </c>
      <c r="E7" s="206" t="s">
        <v>1665</v>
      </c>
      <c r="F7" s="148" t="s">
        <v>1666</v>
      </c>
      <c r="G7" s="148" t="s">
        <v>1667</v>
      </c>
      <c r="H7" s="148" t="s">
        <v>1668</v>
      </c>
      <c r="I7" s="148" t="s">
        <v>1669</v>
      </c>
      <c r="J7" s="148" t="s">
        <v>1670</v>
      </c>
      <c r="K7" s="224" t="s">
        <v>1671</v>
      </c>
      <c r="L7" s="230" t="s">
        <v>1672</v>
      </c>
      <c r="M7" s="148" t="s">
        <v>1673</v>
      </c>
    </row>
    <row r="8" spans="1:13" ht="86.25" customHeight="1">
      <c r="A8" s="148" t="str">
        <f t="shared" si="1"/>
        <v>InstructionsA8</v>
      </c>
      <c r="B8" s="148" t="s">
        <v>1608</v>
      </c>
      <c r="C8" s="148" t="s">
        <v>1674</v>
      </c>
      <c r="D8" s="148" t="s">
        <v>1675</v>
      </c>
      <c r="E8" s="250" t="s">
        <v>1676</v>
      </c>
      <c r="F8" s="148" t="s">
        <v>1677</v>
      </c>
      <c r="G8" s="148" t="s">
        <v>1678</v>
      </c>
      <c r="H8" s="148" t="s">
        <v>1679</v>
      </c>
      <c r="I8" s="148" t="s">
        <v>1680</v>
      </c>
      <c r="J8" s="148" t="s">
        <v>1681</v>
      </c>
      <c r="K8" s="224" t="s">
        <v>1682</v>
      </c>
      <c r="L8" s="230" t="s">
        <v>1683</v>
      </c>
      <c r="M8" s="148" t="s">
        <v>1684</v>
      </c>
    </row>
    <row r="9" spans="1:13" ht="409.5">
      <c r="A9" s="148" t="str">
        <f t="shared" si="1"/>
        <v>InstructionsA9</v>
      </c>
      <c r="B9" s="148" t="s">
        <v>1608</v>
      </c>
      <c r="C9" s="148" t="s">
        <v>1685</v>
      </c>
      <c r="D9" s="148" t="s">
        <v>1686</v>
      </c>
      <c r="E9" s="249" t="s">
        <v>1687</v>
      </c>
      <c r="F9" s="106" t="s">
        <v>1688</v>
      </c>
      <c r="G9" s="106" t="s">
        <v>1689</v>
      </c>
      <c r="H9" s="106" t="s">
        <v>1690</v>
      </c>
      <c r="I9" s="106" t="s">
        <v>1691</v>
      </c>
      <c r="J9" s="106" t="s">
        <v>1692</v>
      </c>
      <c r="K9" s="106" t="s">
        <v>1693</v>
      </c>
      <c r="L9" s="231" t="s">
        <v>1694</v>
      </c>
      <c r="M9" s="148" t="s">
        <v>1695</v>
      </c>
    </row>
    <row r="10" spans="1:13" ht="57">
      <c r="A10" s="148" t="str">
        <f t="shared" si="1"/>
        <v>InstructionsA10</v>
      </c>
      <c r="B10" s="148" t="s">
        <v>1608</v>
      </c>
      <c r="C10" s="148" t="s">
        <v>1696</v>
      </c>
      <c r="D10" s="148" t="s">
        <v>1697</v>
      </c>
      <c r="E10" s="206" t="s">
        <v>1698</v>
      </c>
      <c r="F10" s="148" t="s">
        <v>1699</v>
      </c>
      <c r="G10" s="148" t="s">
        <v>1700</v>
      </c>
      <c r="H10" s="148" t="s">
        <v>1701</v>
      </c>
      <c r="I10" s="148" t="s">
        <v>1702</v>
      </c>
      <c r="J10" s="148" t="s">
        <v>1703</v>
      </c>
      <c r="K10" s="203" t="s">
        <v>1704</v>
      </c>
      <c r="L10" s="230" t="s">
        <v>1705</v>
      </c>
      <c r="M10" s="148" t="s">
        <v>1706</v>
      </c>
    </row>
    <row r="11" spans="1:13" ht="42.75">
      <c r="A11" s="148" t="str">
        <f t="shared" si="1"/>
        <v>InstructionsA11</v>
      </c>
      <c r="B11" s="148" t="s">
        <v>1608</v>
      </c>
      <c r="C11" s="148" t="s">
        <v>1707</v>
      </c>
      <c r="D11" s="148" t="s">
        <v>1708</v>
      </c>
      <c r="E11" s="206" t="s">
        <v>1709</v>
      </c>
      <c r="F11" s="148" t="s">
        <v>1710</v>
      </c>
      <c r="G11" s="148" t="s">
        <v>1711</v>
      </c>
      <c r="H11" s="148" t="s">
        <v>1712</v>
      </c>
      <c r="I11" s="148" t="s">
        <v>1713</v>
      </c>
      <c r="J11" s="148" t="s">
        <v>1714</v>
      </c>
      <c r="K11" s="203" t="s">
        <v>1715</v>
      </c>
      <c r="L11" s="230" t="s">
        <v>1716</v>
      </c>
      <c r="M11" s="148" t="s">
        <v>1717</v>
      </c>
    </row>
    <row r="12" spans="1:13" ht="42.75">
      <c r="A12" s="148" t="str">
        <f t="shared" si="1"/>
        <v>InstructionsA12</v>
      </c>
      <c r="B12" s="148" t="s">
        <v>1608</v>
      </c>
      <c r="C12" s="148" t="s">
        <v>1718</v>
      </c>
      <c r="D12" s="148" t="s">
        <v>1719</v>
      </c>
      <c r="E12" s="206" t="s">
        <v>1720</v>
      </c>
      <c r="F12" s="148" t="s">
        <v>1721</v>
      </c>
      <c r="G12" s="148" t="s">
        <v>1722</v>
      </c>
      <c r="H12" s="148" t="s">
        <v>1723</v>
      </c>
      <c r="I12" s="148" t="s">
        <v>1724</v>
      </c>
      <c r="J12" s="148" t="s">
        <v>1725</v>
      </c>
      <c r="K12" s="203" t="s">
        <v>1726</v>
      </c>
      <c r="L12" s="230" t="s">
        <v>1727</v>
      </c>
      <c r="M12" s="148" t="s">
        <v>1728</v>
      </c>
    </row>
    <row r="13" spans="1:13" ht="57">
      <c r="A13" s="148" t="str">
        <f t="shared" si="1"/>
        <v>InstructionsA13</v>
      </c>
      <c r="B13" s="148" t="s">
        <v>1608</v>
      </c>
      <c r="C13" s="148" t="s">
        <v>1729</v>
      </c>
      <c r="D13" s="148" t="s">
        <v>1730</v>
      </c>
      <c r="E13" s="206" t="s">
        <v>1731</v>
      </c>
      <c r="F13" s="148" t="s">
        <v>1732</v>
      </c>
      <c r="G13" s="148" t="s">
        <v>1733</v>
      </c>
      <c r="H13" s="148" t="s">
        <v>1734</v>
      </c>
      <c r="I13" s="148" t="s">
        <v>1735</v>
      </c>
      <c r="J13" s="148" t="s">
        <v>1736</v>
      </c>
      <c r="K13" s="203" t="s">
        <v>1737</v>
      </c>
      <c r="L13" s="230" t="s">
        <v>1738</v>
      </c>
      <c r="M13" s="148" t="s">
        <v>1739</v>
      </c>
    </row>
    <row r="14" spans="1:13" ht="85.5">
      <c r="A14" s="148" t="str">
        <f t="shared" si="1"/>
        <v>InstructionsA14</v>
      </c>
      <c r="B14" s="148" t="s">
        <v>1608</v>
      </c>
      <c r="C14" s="148" t="s">
        <v>1740</v>
      </c>
      <c r="D14" s="148" t="s">
        <v>1741</v>
      </c>
      <c r="E14" s="206" t="s">
        <v>1742</v>
      </c>
      <c r="F14" s="148" t="s">
        <v>1743</v>
      </c>
      <c r="G14" s="148" t="s">
        <v>1744</v>
      </c>
      <c r="H14" s="148" t="s">
        <v>1745</v>
      </c>
      <c r="I14" s="148" t="s">
        <v>1746</v>
      </c>
      <c r="J14" s="148" t="s">
        <v>1747</v>
      </c>
      <c r="K14" s="203" t="s">
        <v>1748</v>
      </c>
      <c r="L14" s="230" t="s">
        <v>1749</v>
      </c>
      <c r="M14" s="148" t="s">
        <v>1750</v>
      </c>
    </row>
    <row r="15" spans="1:13" ht="42.75">
      <c r="A15" s="148" t="str">
        <f t="shared" si="1"/>
        <v>InstructionsA15</v>
      </c>
      <c r="B15" s="148" t="s">
        <v>1608</v>
      </c>
      <c r="C15" s="148" t="s">
        <v>1751</v>
      </c>
      <c r="D15" s="148" t="s">
        <v>1752</v>
      </c>
      <c r="E15" s="206" t="s">
        <v>1753</v>
      </c>
      <c r="F15" s="148" t="s">
        <v>1754</v>
      </c>
      <c r="G15" s="148" t="s">
        <v>1755</v>
      </c>
      <c r="H15" s="148" t="s">
        <v>1756</v>
      </c>
      <c r="I15" s="148" t="s">
        <v>1757</v>
      </c>
      <c r="J15" s="148" t="s">
        <v>1758</v>
      </c>
      <c r="K15" s="203" t="s">
        <v>1759</v>
      </c>
      <c r="L15" s="230" t="s">
        <v>1760</v>
      </c>
      <c r="M15" s="148" t="s">
        <v>1761</v>
      </c>
    </row>
    <row r="16" spans="1:13" ht="99.75">
      <c r="A16" s="148" t="str">
        <f t="shared" si="1"/>
        <v>InstructionsA16</v>
      </c>
      <c r="B16" s="148" t="s">
        <v>1608</v>
      </c>
      <c r="C16" s="148" t="s">
        <v>1762</v>
      </c>
      <c r="D16" s="148" t="s">
        <v>1763</v>
      </c>
      <c r="E16" s="206" t="s">
        <v>1764</v>
      </c>
      <c r="F16" s="148" t="s">
        <v>1765</v>
      </c>
      <c r="G16" s="148" t="s">
        <v>1766</v>
      </c>
      <c r="H16" s="148" t="s">
        <v>1767</v>
      </c>
      <c r="I16" s="148" t="s">
        <v>1768</v>
      </c>
      <c r="J16" s="148" t="s">
        <v>1769</v>
      </c>
      <c r="K16" s="224" t="s">
        <v>1770</v>
      </c>
      <c r="L16" s="230" t="s">
        <v>1771</v>
      </c>
      <c r="M16" s="148" t="s">
        <v>1772</v>
      </c>
    </row>
    <row r="17" spans="1:13" ht="42.75">
      <c r="A17" s="148" t="str">
        <f t="shared" si="1"/>
        <v>InstructionsA17</v>
      </c>
      <c r="B17" s="148" t="s">
        <v>1608</v>
      </c>
      <c r="C17" s="148" t="s">
        <v>1773</v>
      </c>
      <c r="D17" s="148" t="s">
        <v>1774</v>
      </c>
      <c r="E17" s="206" t="s">
        <v>1775</v>
      </c>
      <c r="F17" s="148" t="s">
        <v>1776</v>
      </c>
      <c r="G17" s="148" t="s">
        <v>1777</v>
      </c>
      <c r="H17" s="148" t="s">
        <v>1778</v>
      </c>
      <c r="I17" s="148" t="s">
        <v>1779</v>
      </c>
      <c r="J17" s="148" t="s">
        <v>1780</v>
      </c>
      <c r="K17" s="224" t="s">
        <v>1781</v>
      </c>
      <c r="L17" s="230" t="s">
        <v>1782</v>
      </c>
      <c r="M17" s="148" t="s">
        <v>1783</v>
      </c>
    </row>
    <row r="18" spans="1:13" ht="85.5">
      <c r="A18" s="148" t="str">
        <f t="shared" si="1"/>
        <v>InstructionsA18</v>
      </c>
      <c r="B18" s="148" t="s">
        <v>1608</v>
      </c>
      <c r="C18" s="148" t="s">
        <v>1784</v>
      </c>
      <c r="D18" s="148" t="s">
        <v>1785</v>
      </c>
      <c r="E18" s="206" t="s">
        <v>1786</v>
      </c>
      <c r="F18" s="148" t="s">
        <v>1787</v>
      </c>
      <c r="G18" s="148" t="s">
        <v>1788</v>
      </c>
      <c r="H18" s="148" t="s">
        <v>1789</v>
      </c>
      <c r="I18" s="148" t="s">
        <v>1790</v>
      </c>
      <c r="J18" s="148" t="s">
        <v>1791</v>
      </c>
      <c r="K18" s="224" t="s">
        <v>1792</v>
      </c>
      <c r="L18" s="230" t="s">
        <v>1793</v>
      </c>
      <c r="M18" s="148" t="s">
        <v>1794</v>
      </c>
    </row>
    <row r="19" spans="1:13" ht="75.75" customHeight="1">
      <c r="A19" s="148" t="str">
        <f t="shared" si="1"/>
        <v>InstructionsA19</v>
      </c>
      <c r="B19" s="148" t="s">
        <v>1608</v>
      </c>
      <c r="C19" s="148" t="s">
        <v>1795</v>
      </c>
      <c r="D19" s="148" t="s">
        <v>1796</v>
      </c>
      <c r="E19" s="148" t="s">
        <v>1797</v>
      </c>
      <c r="F19" s="148" t="s">
        <v>1798</v>
      </c>
      <c r="G19" s="148" t="s">
        <v>1645</v>
      </c>
      <c r="H19" s="148" t="s">
        <v>1799</v>
      </c>
      <c r="I19" s="148" t="s">
        <v>1647</v>
      </c>
      <c r="J19" s="148" t="s">
        <v>1800</v>
      </c>
      <c r="K19" s="148" t="s">
        <v>1801</v>
      </c>
      <c r="L19" s="148" t="s">
        <v>1802</v>
      </c>
      <c r="M19" s="148" t="s">
        <v>1803</v>
      </c>
    </row>
    <row r="20" spans="1:13" ht="42.75">
      <c r="A20" s="148" t="str">
        <f t="shared" si="1"/>
        <v>InstructionsA20</v>
      </c>
      <c r="B20" s="148" t="s">
        <v>1608</v>
      </c>
      <c r="C20" s="148" t="s">
        <v>1804</v>
      </c>
      <c r="D20" s="148" t="s">
        <v>1805</v>
      </c>
      <c r="E20" s="206" t="s">
        <v>1806</v>
      </c>
      <c r="F20" s="148" t="s">
        <v>1807</v>
      </c>
      <c r="G20" s="148" t="s">
        <v>1808</v>
      </c>
      <c r="H20" s="148" t="s">
        <v>1809</v>
      </c>
      <c r="I20" s="148" t="s">
        <v>1810</v>
      </c>
      <c r="J20" s="148" t="s">
        <v>1811</v>
      </c>
      <c r="K20" s="224" t="s">
        <v>1812</v>
      </c>
      <c r="L20" s="230" t="s">
        <v>1813</v>
      </c>
      <c r="M20" s="148" t="s">
        <v>1814</v>
      </c>
    </row>
    <row r="21" spans="1:13" ht="42.75">
      <c r="A21" s="148" t="str">
        <f t="shared" si="1"/>
        <v>InstructionsA21</v>
      </c>
      <c r="B21" s="148" t="s">
        <v>1608</v>
      </c>
      <c r="C21" s="148" t="s">
        <v>1815</v>
      </c>
      <c r="D21" s="148" t="s">
        <v>1816</v>
      </c>
      <c r="E21" s="206" t="s">
        <v>1817</v>
      </c>
      <c r="F21" s="148" t="s">
        <v>1818</v>
      </c>
      <c r="G21" s="148" t="s">
        <v>1819</v>
      </c>
      <c r="H21" s="148" t="s">
        <v>1820</v>
      </c>
      <c r="I21" s="148" t="s">
        <v>1821</v>
      </c>
      <c r="J21" s="148" t="s">
        <v>1822</v>
      </c>
      <c r="K21" s="224" t="s">
        <v>1823</v>
      </c>
      <c r="L21" s="230" t="s">
        <v>1824</v>
      </c>
      <c r="M21" s="148" t="s">
        <v>1825</v>
      </c>
    </row>
    <row r="22" spans="1:13" ht="54.75" customHeight="1">
      <c r="A22" s="148" t="str">
        <f t="shared" si="1"/>
        <v>InstructionsA23</v>
      </c>
      <c r="B22" s="148" t="s">
        <v>1608</v>
      </c>
      <c r="C22" s="148" t="s">
        <v>1826</v>
      </c>
      <c r="D22" s="148" t="s">
        <v>1827</v>
      </c>
      <c r="E22" s="148" t="s">
        <v>1828</v>
      </c>
      <c r="F22" s="148" t="s">
        <v>1829</v>
      </c>
      <c r="G22" s="148" t="s">
        <v>1830</v>
      </c>
      <c r="H22" s="148" t="s">
        <v>1799</v>
      </c>
      <c r="I22" s="148" t="s">
        <v>1831</v>
      </c>
      <c r="J22" s="148" t="s">
        <v>1832</v>
      </c>
      <c r="K22" s="148" t="s">
        <v>1833</v>
      </c>
      <c r="L22" s="148" t="s">
        <v>1834</v>
      </c>
      <c r="M22" s="148" t="s">
        <v>1835</v>
      </c>
    </row>
    <row r="23" spans="1:13" ht="153">
      <c r="A23" s="148" t="str">
        <f t="shared" si="1"/>
        <v>InstructionsA24</v>
      </c>
      <c r="B23" s="148" t="s">
        <v>1608</v>
      </c>
      <c r="C23" s="148" t="s">
        <v>1836</v>
      </c>
      <c r="D23" s="106" t="s">
        <v>1837</v>
      </c>
      <c r="E23" s="106" t="s">
        <v>1838</v>
      </c>
      <c r="F23" s="106" t="s">
        <v>1839</v>
      </c>
      <c r="G23" s="106" t="s">
        <v>1840</v>
      </c>
      <c r="H23" s="106" t="s">
        <v>1841</v>
      </c>
      <c r="I23" s="106" t="s">
        <v>1842</v>
      </c>
      <c r="J23" s="106" t="s">
        <v>1843</v>
      </c>
      <c r="K23" s="106" t="s">
        <v>1844</v>
      </c>
      <c r="L23" s="106" t="s">
        <v>1845</v>
      </c>
      <c r="M23" s="106" t="s">
        <v>1846</v>
      </c>
    </row>
    <row r="24" spans="1:13" ht="127.5">
      <c r="A24" s="148" t="str">
        <f t="shared" si="1"/>
        <v>InstructionsA25</v>
      </c>
      <c r="B24" s="148" t="s">
        <v>1608</v>
      </c>
      <c r="C24" s="148" t="s">
        <v>1847</v>
      </c>
      <c r="D24" s="106" t="s">
        <v>1848</v>
      </c>
      <c r="E24" s="106" t="s">
        <v>1849</v>
      </c>
      <c r="F24" s="106" t="s">
        <v>1850</v>
      </c>
      <c r="G24" s="106" t="s">
        <v>1851</v>
      </c>
      <c r="H24" s="106" t="s">
        <v>1852</v>
      </c>
      <c r="I24" s="106" t="s">
        <v>1853</v>
      </c>
      <c r="J24" s="106" t="s">
        <v>1854</v>
      </c>
      <c r="K24" s="106" t="s">
        <v>1855</v>
      </c>
      <c r="L24" s="106" t="s">
        <v>1856</v>
      </c>
      <c r="M24" s="106" t="s">
        <v>1857</v>
      </c>
    </row>
    <row r="25" spans="1:13" ht="409.5">
      <c r="A25" s="148" t="str">
        <f t="shared" si="1"/>
        <v>InstructionsA26</v>
      </c>
      <c r="B25" s="148" t="s">
        <v>1608</v>
      </c>
      <c r="C25" s="148" t="s">
        <v>1858</v>
      </c>
      <c r="D25" s="106" t="s">
        <v>1859</v>
      </c>
      <c r="E25" s="251" t="s">
        <v>1860</v>
      </c>
      <c r="F25" s="106" t="s">
        <v>1861</v>
      </c>
      <c r="G25" s="226" t="s">
        <v>1862</v>
      </c>
      <c r="H25" s="232" t="s">
        <v>1863</v>
      </c>
      <c r="I25" s="232" t="s">
        <v>1864</v>
      </c>
      <c r="J25" s="226" t="s">
        <v>1865</v>
      </c>
      <c r="K25" s="233" t="s">
        <v>1866</v>
      </c>
      <c r="L25" s="226" t="s">
        <v>1867</v>
      </c>
      <c r="M25" s="226" t="s">
        <v>1868</v>
      </c>
    </row>
    <row r="26" spans="1:13" ht="57">
      <c r="A26" s="148" t="str">
        <f t="shared" si="1"/>
        <v>InstructionsA27</v>
      </c>
      <c r="B26" s="148" t="s">
        <v>1608</v>
      </c>
      <c r="C26" s="148" t="s">
        <v>1869</v>
      </c>
      <c r="D26" s="148" t="s">
        <v>1870</v>
      </c>
      <c r="E26" s="250" t="s">
        <v>1871</v>
      </c>
      <c r="F26" s="148" t="s">
        <v>1872</v>
      </c>
      <c r="G26" s="148" t="s">
        <v>1873</v>
      </c>
      <c r="H26" s="148" t="s">
        <v>1874</v>
      </c>
      <c r="I26" s="148" t="s">
        <v>1875</v>
      </c>
      <c r="J26" s="148" t="s">
        <v>1876</v>
      </c>
      <c r="K26" s="224" t="s">
        <v>1877</v>
      </c>
      <c r="L26" s="230" t="s">
        <v>1878</v>
      </c>
      <c r="M26" s="148" t="s">
        <v>1879</v>
      </c>
    </row>
    <row r="27" spans="1:13" ht="409.5">
      <c r="A27" s="148" t="str">
        <f t="shared" si="1"/>
        <v>InstructionsA28</v>
      </c>
      <c r="B27" s="148" t="s">
        <v>1608</v>
      </c>
      <c r="C27" s="148" t="s">
        <v>1880</v>
      </c>
      <c r="D27" s="106" t="s">
        <v>1881</v>
      </c>
      <c r="E27" s="251" t="s">
        <v>1882</v>
      </c>
      <c r="F27" s="256" t="s">
        <v>1883</v>
      </c>
      <c r="G27" s="232" t="s">
        <v>1884</v>
      </c>
      <c r="H27" s="232" t="s">
        <v>1885</v>
      </c>
      <c r="I27" s="232" t="s">
        <v>1886</v>
      </c>
      <c r="J27" s="232" t="s">
        <v>1887</v>
      </c>
      <c r="K27" s="233" t="s">
        <v>1888</v>
      </c>
      <c r="L27" s="226" t="s">
        <v>1889</v>
      </c>
      <c r="M27" s="226" t="s">
        <v>1890</v>
      </c>
    </row>
    <row r="28" spans="1:13" ht="348" customHeight="1">
      <c r="A28" s="148" t="str">
        <f t="shared" ref="A28" si="2">B28&amp;C28</f>
        <v>InstructionsA29</v>
      </c>
      <c r="B28" s="148" t="s">
        <v>1608</v>
      </c>
      <c r="C28" s="148" t="s">
        <v>1891</v>
      </c>
      <c r="D28" s="106" t="s">
        <v>1892</v>
      </c>
      <c r="E28" s="106" t="s">
        <v>1893</v>
      </c>
      <c r="F28" s="106" t="s">
        <v>1894</v>
      </c>
      <c r="G28" s="106" t="s">
        <v>1895</v>
      </c>
      <c r="H28" s="106" t="s">
        <v>1896</v>
      </c>
      <c r="I28" s="106" t="s">
        <v>1897</v>
      </c>
      <c r="J28" s="106" t="s">
        <v>1898</v>
      </c>
      <c r="K28" s="106" t="s">
        <v>1899</v>
      </c>
      <c r="L28" s="106" t="s">
        <v>1900</v>
      </c>
      <c r="M28" s="106" t="s">
        <v>1901</v>
      </c>
    </row>
    <row r="29" spans="1:13" ht="234" customHeight="1">
      <c r="A29" s="148" t="str">
        <f t="shared" ref="A29:A47" si="3">B29&amp;C29</f>
        <v>InstructionsA30</v>
      </c>
      <c r="B29" s="148" t="s">
        <v>1608</v>
      </c>
      <c r="C29" s="148" t="s">
        <v>1902</v>
      </c>
      <c r="D29" s="106" t="s">
        <v>1903</v>
      </c>
      <c r="E29" s="106" t="s">
        <v>1904</v>
      </c>
      <c r="F29" s="106" t="s">
        <v>1905</v>
      </c>
      <c r="G29" s="106" t="s">
        <v>1906</v>
      </c>
      <c r="H29" s="106" t="s">
        <v>1907</v>
      </c>
      <c r="I29" s="106" t="s">
        <v>1908</v>
      </c>
      <c r="J29" s="106" t="s">
        <v>1909</v>
      </c>
      <c r="K29" s="106" t="s">
        <v>1910</v>
      </c>
      <c r="L29" s="106" t="s">
        <v>1911</v>
      </c>
      <c r="M29" s="106" t="s">
        <v>1912</v>
      </c>
    </row>
    <row r="30" spans="1:13" ht="229.5">
      <c r="A30" s="148" t="str">
        <f t="shared" si="3"/>
        <v>InstructionsA31</v>
      </c>
      <c r="B30" s="148" t="s">
        <v>1608</v>
      </c>
      <c r="C30" s="148" t="s">
        <v>1913</v>
      </c>
      <c r="D30" s="106" t="s">
        <v>1914</v>
      </c>
      <c r="E30" s="249" t="s">
        <v>1915</v>
      </c>
      <c r="F30" s="106" t="s">
        <v>1916</v>
      </c>
      <c r="G30" s="106" t="s">
        <v>1917</v>
      </c>
      <c r="H30" s="106" t="s">
        <v>1918</v>
      </c>
      <c r="I30" s="106" t="s">
        <v>1919</v>
      </c>
      <c r="J30" s="106" t="s">
        <v>1920</v>
      </c>
      <c r="K30" s="106" t="s">
        <v>1921</v>
      </c>
      <c r="L30" s="234" t="s">
        <v>1922</v>
      </c>
      <c r="M30" s="106" t="s">
        <v>1923</v>
      </c>
    </row>
    <row r="31" spans="1:13" ht="270">
      <c r="A31" s="148" t="str">
        <f t="shared" si="3"/>
        <v>InstructionsA32</v>
      </c>
      <c r="B31" s="148" t="s">
        <v>1608</v>
      </c>
      <c r="C31" s="148" t="s">
        <v>1924</v>
      </c>
      <c r="D31" s="106" t="s">
        <v>1925</v>
      </c>
      <c r="E31" s="251" t="s">
        <v>1926</v>
      </c>
      <c r="F31" s="258" t="s">
        <v>1927</v>
      </c>
      <c r="G31" s="260" t="s">
        <v>1928</v>
      </c>
      <c r="H31" s="232" t="s">
        <v>1929</v>
      </c>
      <c r="I31" s="226" t="s">
        <v>1930</v>
      </c>
      <c r="J31" s="226" t="s">
        <v>1931</v>
      </c>
      <c r="K31" s="233" t="s">
        <v>1932</v>
      </c>
      <c r="L31" s="226" t="s">
        <v>1933</v>
      </c>
      <c r="M31" s="226" t="s">
        <v>1934</v>
      </c>
    </row>
    <row r="32" spans="1:13" ht="135">
      <c r="A32" s="148" t="str">
        <f t="shared" si="3"/>
        <v>InstructionsA33</v>
      </c>
      <c r="B32" s="148" t="s">
        <v>1608</v>
      </c>
      <c r="C32" s="148" t="s">
        <v>1935</v>
      </c>
      <c r="D32" s="106" t="s">
        <v>1936</v>
      </c>
      <c r="E32" s="207" t="s">
        <v>1937</v>
      </c>
      <c r="F32" s="258" t="s">
        <v>1938</v>
      </c>
      <c r="G32" s="260" t="s">
        <v>1939</v>
      </c>
      <c r="H32" s="232" t="s">
        <v>1940</v>
      </c>
      <c r="I32" s="226" t="s">
        <v>1941</v>
      </c>
      <c r="J32" s="226" t="s">
        <v>1942</v>
      </c>
      <c r="K32" s="233" t="s">
        <v>1943</v>
      </c>
      <c r="L32" s="226" t="s">
        <v>1944</v>
      </c>
      <c r="M32" s="226" t="s">
        <v>1945</v>
      </c>
    </row>
    <row r="33" spans="1:13" ht="135">
      <c r="A33" s="148" t="str">
        <f t="shared" si="3"/>
        <v>InstructionsA34</v>
      </c>
      <c r="B33" s="148" t="s">
        <v>1608</v>
      </c>
      <c r="C33" s="148" t="s">
        <v>1946</v>
      </c>
      <c r="D33" s="106" t="s">
        <v>1947</v>
      </c>
      <c r="E33" s="251" t="s">
        <v>1948</v>
      </c>
      <c r="F33" s="258" t="s">
        <v>1949</v>
      </c>
      <c r="G33" s="260" t="s">
        <v>1950</v>
      </c>
      <c r="H33" s="232" t="s">
        <v>1951</v>
      </c>
      <c r="I33" s="226" t="s">
        <v>1952</v>
      </c>
      <c r="J33" s="226" t="s">
        <v>1953</v>
      </c>
      <c r="K33" s="233" t="s">
        <v>1954</v>
      </c>
      <c r="L33" s="226" t="s">
        <v>1955</v>
      </c>
      <c r="M33" s="226" t="s">
        <v>1956</v>
      </c>
    </row>
    <row r="34" spans="1:13" ht="42.75">
      <c r="A34" s="148" t="str">
        <f t="shared" si="3"/>
        <v>InstructionsA35</v>
      </c>
      <c r="B34" s="148" t="s">
        <v>1608</v>
      </c>
      <c r="C34" s="148" t="s">
        <v>1957</v>
      </c>
      <c r="D34" s="148" t="s">
        <v>1958</v>
      </c>
      <c r="E34" s="206" t="s">
        <v>1959</v>
      </c>
      <c r="F34" s="148" t="s">
        <v>1960</v>
      </c>
      <c r="G34" s="148" t="s">
        <v>1961</v>
      </c>
      <c r="H34" s="148" t="s">
        <v>1962</v>
      </c>
      <c r="I34" s="148" t="s">
        <v>1963</v>
      </c>
      <c r="J34" s="148" t="s">
        <v>1964</v>
      </c>
      <c r="K34" s="201" t="s">
        <v>1965</v>
      </c>
      <c r="L34" s="230" t="s">
        <v>1966</v>
      </c>
      <c r="M34" s="148" t="s">
        <v>1967</v>
      </c>
    </row>
    <row r="35" spans="1:13" ht="75">
      <c r="A35" s="148" t="str">
        <f t="shared" si="3"/>
        <v>InstructionsA37</v>
      </c>
      <c r="B35" s="148" t="s">
        <v>1608</v>
      </c>
      <c r="C35" s="148" t="s">
        <v>1968</v>
      </c>
      <c r="D35" s="148" t="s">
        <v>1969</v>
      </c>
      <c r="E35" s="207" t="s">
        <v>1970</v>
      </c>
      <c r="F35" s="258" t="s">
        <v>1971</v>
      </c>
      <c r="G35" s="261" t="s">
        <v>1972</v>
      </c>
      <c r="H35" s="226" t="s">
        <v>1973</v>
      </c>
      <c r="I35" s="226" t="s">
        <v>1974</v>
      </c>
      <c r="J35" s="226" t="s">
        <v>1975</v>
      </c>
      <c r="K35" s="233" t="s">
        <v>1976</v>
      </c>
      <c r="L35" s="226" t="s">
        <v>1977</v>
      </c>
      <c r="M35" s="226" t="s">
        <v>1978</v>
      </c>
    </row>
    <row r="36" spans="1:13" ht="33.75" customHeight="1">
      <c r="A36" s="148" t="str">
        <f t="shared" si="3"/>
        <v>InstructionsA38</v>
      </c>
      <c r="B36" s="148" t="s">
        <v>1608</v>
      </c>
      <c r="C36" s="148" t="s">
        <v>1979</v>
      </c>
      <c r="D36" s="148" t="s">
        <v>1980</v>
      </c>
      <c r="E36" s="206" t="s">
        <v>1981</v>
      </c>
      <c r="F36" s="148" t="s">
        <v>1982</v>
      </c>
      <c r="G36" s="148" t="s">
        <v>1983</v>
      </c>
      <c r="H36" s="148" t="s">
        <v>1984</v>
      </c>
      <c r="I36" s="148" t="s">
        <v>1985</v>
      </c>
      <c r="J36" s="148" t="s">
        <v>1986</v>
      </c>
      <c r="K36" s="224" t="s">
        <v>1987</v>
      </c>
      <c r="L36" s="230" t="s">
        <v>1988</v>
      </c>
      <c r="M36" s="148" t="s">
        <v>1989</v>
      </c>
    </row>
    <row r="37" spans="1:13" ht="114">
      <c r="A37" s="148" t="str">
        <f t="shared" si="3"/>
        <v>InstructionsA39</v>
      </c>
      <c r="B37" s="148" t="s">
        <v>1608</v>
      </c>
      <c r="C37" s="148" t="s">
        <v>1990</v>
      </c>
      <c r="D37" s="148" t="s">
        <v>1991</v>
      </c>
      <c r="E37" s="148" t="s">
        <v>1992</v>
      </c>
      <c r="F37" s="148" t="s">
        <v>1993</v>
      </c>
      <c r="G37" s="148" t="s">
        <v>1994</v>
      </c>
      <c r="H37" s="148" t="s">
        <v>1995</v>
      </c>
      <c r="I37" s="148" t="s">
        <v>1996</v>
      </c>
      <c r="J37" s="148" t="s">
        <v>1997</v>
      </c>
      <c r="K37" s="148" t="s">
        <v>1998</v>
      </c>
      <c r="L37" s="148" t="s">
        <v>1999</v>
      </c>
      <c r="M37" s="148" t="s">
        <v>2000</v>
      </c>
    </row>
    <row r="38" spans="1:13" ht="128.25">
      <c r="A38" s="148" t="str">
        <f t="shared" si="3"/>
        <v>InstructionsA40</v>
      </c>
      <c r="B38" s="148" t="s">
        <v>1608</v>
      </c>
      <c r="C38" s="148" t="s">
        <v>2001</v>
      </c>
      <c r="D38" s="148" t="s">
        <v>2002</v>
      </c>
      <c r="E38" s="148" t="s">
        <v>2003</v>
      </c>
      <c r="F38" s="148" t="s">
        <v>2004</v>
      </c>
      <c r="G38" s="148" t="s">
        <v>2005</v>
      </c>
      <c r="H38" s="148" t="s">
        <v>2006</v>
      </c>
      <c r="I38" s="148" t="s">
        <v>1996</v>
      </c>
      <c r="J38" s="148" t="s">
        <v>2007</v>
      </c>
      <c r="K38" s="148" t="s">
        <v>2008</v>
      </c>
      <c r="L38" s="148" t="s">
        <v>2009</v>
      </c>
      <c r="M38" s="148" t="s">
        <v>2000</v>
      </c>
    </row>
    <row r="39" spans="1:13" ht="120">
      <c r="A39" s="148" t="str">
        <f t="shared" si="3"/>
        <v>InstructionsA41</v>
      </c>
      <c r="B39" s="148" t="s">
        <v>1608</v>
      </c>
      <c r="C39" s="148" t="s">
        <v>2010</v>
      </c>
      <c r="D39" s="106" t="s">
        <v>2011</v>
      </c>
      <c r="E39" s="207" t="s">
        <v>2012</v>
      </c>
      <c r="F39" s="256" t="s">
        <v>2013</v>
      </c>
      <c r="G39" s="226" t="s">
        <v>2014</v>
      </c>
      <c r="H39" s="226" t="s">
        <v>2015</v>
      </c>
      <c r="I39" s="226" t="s">
        <v>2016</v>
      </c>
      <c r="J39" s="226" t="s">
        <v>2017</v>
      </c>
      <c r="K39" s="233" t="s">
        <v>2018</v>
      </c>
      <c r="L39" s="226" t="s">
        <v>2019</v>
      </c>
      <c r="M39" s="226" t="s">
        <v>2020</v>
      </c>
    </row>
    <row r="40" spans="1:13" ht="409.5">
      <c r="A40" s="148" t="str">
        <f t="shared" si="3"/>
        <v>InstructionsA42</v>
      </c>
      <c r="B40" s="148" t="s">
        <v>1608</v>
      </c>
      <c r="C40" s="148" t="s">
        <v>2021</v>
      </c>
      <c r="D40" s="148" t="s">
        <v>2022</v>
      </c>
      <c r="E40" s="148" t="s">
        <v>2023</v>
      </c>
      <c r="F40" s="148" t="s">
        <v>2024</v>
      </c>
      <c r="G40" s="148" t="s">
        <v>2025</v>
      </c>
      <c r="H40" s="148" t="s">
        <v>2026</v>
      </c>
      <c r="I40" s="148" t="s">
        <v>2027</v>
      </c>
      <c r="J40" s="148" t="s">
        <v>2028</v>
      </c>
      <c r="K40" s="148" t="s">
        <v>2029</v>
      </c>
      <c r="L40" s="148" t="s">
        <v>2030</v>
      </c>
      <c r="M40" s="148" t="s">
        <v>2031</v>
      </c>
    </row>
    <row r="41" spans="1:13" ht="240">
      <c r="A41" s="148" t="str">
        <f t="shared" si="3"/>
        <v>InstructionsA43</v>
      </c>
      <c r="B41" s="148" t="s">
        <v>1608</v>
      </c>
      <c r="C41" s="148" t="s">
        <v>2032</v>
      </c>
      <c r="D41" s="106" t="s">
        <v>2033</v>
      </c>
      <c r="E41" s="251" t="s">
        <v>2034</v>
      </c>
      <c r="F41" s="256" t="s">
        <v>2035</v>
      </c>
      <c r="G41" s="226" t="s">
        <v>2036</v>
      </c>
      <c r="H41" s="232" t="s">
        <v>2037</v>
      </c>
      <c r="I41" s="226" t="s">
        <v>2038</v>
      </c>
      <c r="J41" s="226" t="s">
        <v>2039</v>
      </c>
      <c r="K41" s="233" t="s">
        <v>2040</v>
      </c>
      <c r="L41" s="226" t="s">
        <v>2041</v>
      </c>
      <c r="M41" s="226" t="s">
        <v>2042</v>
      </c>
    </row>
    <row r="42" spans="1:13" ht="225">
      <c r="A42" s="148" t="str">
        <f t="shared" si="3"/>
        <v>InstructionsA44</v>
      </c>
      <c r="B42" s="148" t="s">
        <v>1608</v>
      </c>
      <c r="C42" s="148" t="s">
        <v>2043</v>
      </c>
      <c r="D42" s="148" t="s">
        <v>2044</v>
      </c>
      <c r="E42" s="251" t="s">
        <v>2045</v>
      </c>
      <c r="F42" s="256" t="s">
        <v>2046</v>
      </c>
      <c r="G42" s="226" t="s">
        <v>2047</v>
      </c>
      <c r="H42" s="232" t="s">
        <v>2048</v>
      </c>
      <c r="I42" s="226" t="s">
        <v>2049</v>
      </c>
      <c r="J42" s="226" t="s">
        <v>2050</v>
      </c>
      <c r="K42" s="233" t="s">
        <v>2051</v>
      </c>
      <c r="L42" s="226" t="s">
        <v>2052</v>
      </c>
      <c r="M42" s="226" t="s">
        <v>2053</v>
      </c>
    </row>
    <row r="43" spans="1:13" ht="120">
      <c r="A43" s="148" t="str">
        <f t="shared" si="3"/>
        <v>InstructionsA45</v>
      </c>
      <c r="B43" s="148" t="s">
        <v>1608</v>
      </c>
      <c r="C43" s="148" t="s">
        <v>2054</v>
      </c>
      <c r="D43" s="148" t="s">
        <v>2055</v>
      </c>
      <c r="E43" s="251" t="s">
        <v>2056</v>
      </c>
      <c r="F43" s="256" t="s">
        <v>2057</v>
      </c>
      <c r="G43" s="226" t="s">
        <v>2058</v>
      </c>
      <c r="H43" s="226" t="s">
        <v>2059</v>
      </c>
      <c r="I43" s="226" t="s">
        <v>2060</v>
      </c>
      <c r="J43" s="226" t="s">
        <v>2061</v>
      </c>
      <c r="K43" s="233" t="s">
        <v>2062</v>
      </c>
      <c r="L43" s="226" t="s">
        <v>2063</v>
      </c>
      <c r="M43" s="226" t="s">
        <v>2064</v>
      </c>
    </row>
    <row r="44" spans="1:13" ht="139.5" customHeight="1">
      <c r="A44" s="148" t="str">
        <f t="shared" si="3"/>
        <v>InstructionsA46</v>
      </c>
      <c r="B44" s="148" t="s">
        <v>1608</v>
      </c>
      <c r="C44" s="148" t="s">
        <v>2065</v>
      </c>
      <c r="D44" s="148" t="s">
        <v>2066</v>
      </c>
      <c r="E44" s="148" t="s">
        <v>2067</v>
      </c>
      <c r="F44" s="148" t="s">
        <v>2068</v>
      </c>
      <c r="G44" s="148" t="s">
        <v>2069</v>
      </c>
      <c r="H44" s="148" t="s">
        <v>2070</v>
      </c>
      <c r="I44" s="148" t="s">
        <v>2071</v>
      </c>
      <c r="J44" s="148" t="s">
        <v>2072</v>
      </c>
      <c r="K44" s="148" t="s">
        <v>2073</v>
      </c>
      <c r="L44" s="148" t="s">
        <v>2074</v>
      </c>
      <c r="M44" s="148" t="s">
        <v>2075</v>
      </c>
    </row>
    <row r="45" spans="1:13" ht="42.75">
      <c r="A45" s="148" t="str">
        <f t="shared" si="3"/>
        <v>InstructionsA48</v>
      </c>
      <c r="B45" s="148" t="s">
        <v>1608</v>
      </c>
      <c r="C45" s="148" t="s">
        <v>2076</v>
      </c>
      <c r="D45" s="148" t="s">
        <v>2077</v>
      </c>
      <c r="E45" s="206" t="s">
        <v>2078</v>
      </c>
      <c r="F45" s="148" t="s">
        <v>2079</v>
      </c>
      <c r="G45" s="148" t="s">
        <v>2080</v>
      </c>
      <c r="H45" s="148" t="s">
        <v>2081</v>
      </c>
      <c r="I45" s="148" t="s">
        <v>2082</v>
      </c>
      <c r="J45" s="148" t="s">
        <v>2083</v>
      </c>
      <c r="K45" s="224" t="s">
        <v>2084</v>
      </c>
      <c r="L45" s="230" t="s">
        <v>2085</v>
      </c>
      <c r="M45" s="148" t="s">
        <v>2086</v>
      </c>
    </row>
    <row r="46" spans="1:13" ht="28.5">
      <c r="A46" s="148" t="str">
        <f t="shared" si="3"/>
        <v>InstructionsA49</v>
      </c>
      <c r="B46" s="148" t="s">
        <v>1608</v>
      </c>
      <c r="C46" s="148" t="s">
        <v>2087</v>
      </c>
      <c r="D46" s="148" t="s">
        <v>2088</v>
      </c>
      <c r="E46" s="206" t="s">
        <v>2089</v>
      </c>
      <c r="F46" s="148" t="s">
        <v>2090</v>
      </c>
      <c r="G46" s="148" t="s">
        <v>2091</v>
      </c>
      <c r="H46" s="148" t="s">
        <v>2092</v>
      </c>
      <c r="I46" s="148" t="s">
        <v>2093</v>
      </c>
      <c r="J46" s="148" t="s">
        <v>2094</v>
      </c>
      <c r="K46" s="224" t="s">
        <v>2095</v>
      </c>
      <c r="L46" s="230" t="s">
        <v>2096</v>
      </c>
      <c r="M46" s="148" t="s">
        <v>2097</v>
      </c>
    </row>
    <row r="47" spans="1:13" ht="105">
      <c r="A47" s="148" t="str">
        <f t="shared" si="3"/>
        <v>InstructionsA50</v>
      </c>
      <c r="B47" s="148" t="s">
        <v>1608</v>
      </c>
      <c r="C47" s="148" t="s">
        <v>2098</v>
      </c>
      <c r="D47" s="148" t="s">
        <v>2099</v>
      </c>
      <c r="E47" s="251" t="s">
        <v>2100</v>
      </c>
      <c r="F47" s="256" t="s">
        <v>2101</v>
      </c>
      <c r="G47" s="226" t="s">
        <v>2102</v>
      </c>
      <c r="H47" s="232" t="s">
        <v>2103</v>
      </c>
      <c r="I47" s="232" t="s">
        <v>2104</v>
      </c>
      <c r="J47" s="226" t="s">
        <v>2105</v>
      </c>
      <c r="K47" s="233" t="s">
        <v>2106</v>
      </c>
      <c r="L47" s="226" t="s">
        <v>2107</v>
      </c>
      <c r="M47" s="232" t="s">
        <v>2108</v>
      </c>
    </row>
    <row r="48" spans="1:13" ht="85.5">
      <c r="A48" s="196" t="s">
        <v>2109</v>
      </c>
      <c r="B48" s="196" t="s">
        <v>1608</v>
      </c>
      <c r="C48" s="148" t="s">
        <v>2110</v>
      </c>
      <c r="D48" s="196" t="s">
        <v>2111</v>
      </c>
      <c r="E48" s="250" t="s">
        <v>2112</v>
      </c>
      <c r="F48" s="148" t="s">
        <v>2113</v>
      </c>
      <c r="G48" s="136" t="s">
        <v>2114</v>
      </c>
      <c r="H48" s="148" t="s">
        <v>2115</v>
      </c>
      <c r="I48" s="148" t="s">
        <v>2116</v>
      </c>
      <c r="J48" s="148" t="s">
        <v>2117</v>
      </c>
      <c r="K48" s="148" t="s">
        <v>2118</v>
      </c>
      <c r="L48" s="235" t="s">
        <v>2119</v>
      </c>
      <c r="M48" s="148" t="s">
        <v>2120</v>
      </c>
    </row>
    <row r="49" spans="1:13" ht="57">
      <c r="A49" s="148" t="str">
        <f t="shared" ref="A49:A74" si="4">B49&amp;C49</f>
        <v>InstructionsA52</v>
      </c>
      <c r="B49" s="148" t="s">
        <v>1608</v>
      </c>
      <c r="C49" s="148" t="s">
        <v>2121</v>
      </c>
      <c r="D49" s="148" t="s">
        <v>2122</v>
      </c>
      <c r="E49" s="250" t="s">
        <v>2123</v>
      </c>
      <c r="F49" s="148" t="s">
        <v>2124</v>
      </c>
      <c r="G49" s="148" t="s">
        <v>2125</v>
      </c>
      <c r="H49" s="148" t="s">
        <v>2126</v>
      </c>
      <c r="I49" s="148" t="s">
        <v>2127</v>
      </c>
      <c r="J49" s="148" t="s">
        <v>2128</v>
      </c>
      <c r="K49" s="224" t="s">
        <v>2129</v>
      </c>
      <c r="L49" s="230" t="s">
        <v>2130</v>
      </c>
      <c r="M49" s="148" t="s">
        <v>2131</v>
      </c>
    </row>
    <row r="50" spans="1:13" ht="156.75">
      <c r="A50" s="148" t="str">
        <f t="shared" si="4"/>
        <v>InstructionsA53</v>
      </c>
      <c r="B50" s="148" t="s">
        <v>1608</v>
      </c>
      <c r="C50" s="148" t="s">
        <v>2132</v>
      </c>
      <c r="D50" s="148" t="s">
        <v>2133</v>
      </c>
      <c r="E50" s="251" t="s">
        <v>2134</v>
      </c>
      <c r="F50" s="256" t="s">
        <v>2135</v>
      </c>
      <c r="G50" s="232" t="s">
        <v>2136</v>
      </c>
      <c r="H50" s="232" t="s">
        <v>2137</v>
      </c>
      <c r="I50" s="232" t="s">
        <v>2138</v>
      </c>
      <c r="J50" s="226" t="s">
        <v>2139</v>
      </c>
      <c r="K50" s="233" t="s">
        <v>2140</v>
      </c>
      <c r="L50" s="226" t="s">
        <v>2141</v>
      </c>
      <c r="M50" s="232" t="s">
        <v>2142</v>
      </c>
    </row>
    <row r="51" spans="1:13" ht="85.5">
      <c r="A51" s="148" t="str">
        <f t="shared" si="4"/>
        <v>InstructionsA54</v>
      </c>
      <c r="B51" s="148" t="s">
        <v>1608</v>
      </c>
      <c r="C51" s="148" t="s">
        <v>2143</v>
      </c>
      <c r="D51" s="148" t="s">
        <v>2144</v>
      </c>
      <c r="E51" s="250" t="s">
        <v>2145</v>
      </c>
      <c r="F51" s="148" t="s">
        <v>2146</v>
      </c>
      <c r="G51" s="148" t="s">
        <v>2147</v>
      </c>
      <c r="H51" s="148" t="s">
        <v>2148</v>
      </c>
      <c r="I51" s="148" t="s">
        <v>2149</v>
      </c>
      <c r="J51" s="148" t="s">
        <v>2150</v>
      </c>
      <c r="K51" s="224" t="s">
        <v>2151</v>
      </c>
      <c r="L51" s="230" t="s">
        <v>2152</v>
      </c>
      <c r="M51" s="148" t="s">
        <v>2153</v>
      </c>
    </row>
    <row r="52" spans="1:13" ht="99.75">
      <c r="A52" s="148" t="str">
        <f t="shared" si="4"/>
        <v>InstructionsA55</v>
      </c>
      <c r="B52" s="148" t="s">
        <v>1608</v>
      </c>
      <c r="C52" s="148" t="s">
        <v>2154</v>
      </c>
      <c r="D52" s="148" t="s">
        <v>2155</v>
      </c>
      <c r="E52" s="148" t="s">
        <v>2156</v>
      </c>
      <c r="F52" s="148" t="s">
        <v>2157</v>
      </c>
      <c r="G52" s="148" t="s">
        <v>2158</v>
      </c>
      <c r="H52" s="148" t="s">
        <v>2159</v>
      </c>
      <c r="I52" s="148" t="s">
        <v>2160</v>
      </c>
      <c r="J52" s="148" t="s">
        <v>2161</v>
      </c>
      <c r="K52" s="224" t="s">
        <v>2162</v>
      </c>
      <c r="L52" s="230" t="s">
        <v>2163</v>
      </c>
      <c r="M52" s="148" t="s">
        <v>2164</v>
      </c>
    </row>
    <row r="53" spans="1:13" ht="128.25">
      <c r="A53" s="148" t="str">
        <f t="shared" si="4"/>
        <v>InstructionsA56</v>
      </c>
      <c r="B53" s="148" t="s">
        <v>1608</v>
      </c>
      <c r="C53" s="148" t="s">
        <v>2165</v>
      </c>
      <c r="D53" s="148" t="s">
        <v>2166</v>
      </c>
      <c r="E53" s="148" t="s">
        <v>2167</v>
      </c>
      <c r="F53" s="148" t="s">
        <v>2168</v>
      </c>
      <c r="G53" s="148" t="s">
        <v>2169</v>
      </c>
      <c r="H53" s="148" t="s">
        <v>2170</v>
      </c>
      <c r="I53" s="148" t="s">
        <v>2171</v>
      </c>
      <c r="J53" s="148" t="s">
        <v>2172</v>
      </c>
      <c r="K53" s="224" t="s">
        <v>2173</v>
      </c>
      <c r="L53" s="230" t="s">
        <v>2174</v>
      </c>
      <c r="M53" s="148" t="s">
        <v>2175</v>
      </c>
    </row>
    <row r="54" spans="1:13" ht="85.5">
      <c r="A54" s="148" t="str">
        <f t="shared" si="4"/>
        <v>InstructionsA57</v>
      </c>
      <c r="B54" s="148" t="s">
        <v>1608</v>
      </c>
      <c r="C54" s="148" t="s">
        <v>2176</v>
      </c>
      <c r="D54" s="148" t="s">
        <v>2177</v>
      </c>
      <c r="E54" s="148" t="s">
        <v>2178</v>
      </c>
      <c r="F54" s="148" t="s">
        <v>2179</v>
      </c>
      <c r="G54" s="148" t="s">
        <v>2180</v>
      </c>
      <c r="H54" s="148" t="s">
        <v>2181</v>
      </c>
      <c r="I54" s="148" t="s">
        <v>2182</v>
      </c>
      <c r="J54" s="148" t="s">
        <v>2183</v>
      </c>
      <c r="K54" s="224" t="s">
        <v>2184</v>
      </c>
      <c r="L54" s="230" t="s">
        <v>2185</v>
      </c>
      <c r="M54" s="148" t="s">
        <v>2186</v>
      </c>
    </row>
    <row r="55" spans="1:13" ht="45">
      <c r="A55" s="148" t="str">
        <f t="shared" si="4"/>
        <v>InstructionsA58</v>
      </c>
      <c r="B55" s="148" t="s">
        <v>1608</v>
      </c>
      <c r="C55" s="148" t="s">
        <v>2187</v>
      </c>
      <c r="D55" s="106" t="s">
        <v>2188</v>
      </c>
      <c r="E55" s="106" t="s">
        <v>2189</v>
      </c>
      <c r="F55" s="106" t="s">
        <v>2190</v>
      </c>
      <c r="G55" s="106" t="s">
        <v>2191</v>
      </c>
      <c r="H55" s="106" t="s">
        <v>2192</v>
      </c>
      <c r="I55" s="106" t="s">
        <v>2193</v>
      </c>
      <c r="J55" s="106" t="s">
        <v>2194</v>
      </c>
      <c r="K55" s="106" t="s">
        <v>2195</v>
      </c>
      <c r="L55" s="231" t="s">
        <v>2196</v>
      </c>
      <c r="M55" s="106" t="s">
        <v>2197</v>
      </c>
    </row>
    <row r="56" spans="1:13" ht="45">
      <c r="A56" s="148" t="str">
        <f t="shared" si="4"/>
        <v>InstructionsA59</v>
      </c>
      <c r="B56" s="148" t="s">
        <v>1608</v>
      </c>
      <c r="C56" s="148" t="s">
        <v>2198</v>
      </c>
      <c r="D56" s="106" t="s">
        <v>2199</v>
      </c>
      <c r="E56" s="106" t="s">
        <v>2200</v>
      </c>
      <c r="F56" s="106" t="s">
        <v>2201</v>
      </c>
      <c r="G56" s="106" t="s">
        <v>2202</v>
      </c>
      <c r="H56" s="106" t="s">
        <v>2203</v>
      </c>
      <c r="I56" s="106" t="s">
        <v>2204</v>
      </c>
      <c r="J56" s="106" t="s">
        <v>2205</v>
      </c>
      <c r="K56" s="106" t="s">
        <v>2206</v>
      </c>
      <c r="L56" s="231" t="s">
        <v>2207</v>
      </c>
      <c r="M56" s="106" t="s">
        <v>2208</v>
      </c>
    </row>
    <row r="57" spans="1:13" ht="51">
      <c r="A57" s="148" t="str">
        <f t="shared" si="4"/>
        <v>InstructionsA60</v>
      </c>
      <c r="B57" s="148" t="s">
        <v>1608</v>
      </c>
      <c r="C57" s="148" t="s">
        <v>2209</v>
      </c>
      <c r="D57" s="106" t="s">
        <v>2210</v>
      </c>
      <c r="E57" s="106" t="s">
        <v>2211</v>
      </c>
      <c r="F57" s="106" t="s">
        <v>2212</v>
      </c>
      <c r="G57" s="106" t="s">
        <v>2213</v>
      </c>
      <c r="H57" s="106" t="s">
        <v>2214</v>
      </c>
      <c r="I57" s="106" t="s">
        <v>2215</v>
      </c>
      <c r="J57" s="106" t="s">
        <v>2216</v>
      </c>
      <c r="K57" s="106" t="s">
        <v>2217</v>
      </c>
      <c r="L57" s="231" t="s">
        <v>2218</v>
      </c>
      <c r="M57" s="106" t="s">
        <v>2219</v>
      </c>
    </row>
    <row r="58" spans="1:13" ht="399">
      <c r="A58" s="148" t="str">
        <f t="shared" si="4"/>
        <v>InstructionsA61</v>
      </c>
      <c r="B58" s="148" t="s">
        <v>1608</v>
      </c>
      <c r="C58" s="148" t="s">
        <v>2220</v>
      </c>
      <c r="D58" s="148" t="s">
        <v>2221</v>
      </c>
      <c r="E58" s="148" t="s">
        <v>2222</v>
      </c>
      <c r="F58" s="148" t="s">
        <v>2223</v>
      </c>
      <c r="G58" s="166" t="s">
        <v>2224</v>
      </c>
      <c r="H58" s="148" t="s">
        <v>2225</v>
      </c>
      <c r="I58" s="148" t="s">
        <v>2226</v>
      </c>
      <c r="J58" s="148" t="s">
        <v>2227</v>
      </c>
      <c r="K58" s="224" t="s">
        <v>2228</v>
      </c>
      <c r="L58" s="230" t="s">
        <v>2229</v>
      </c>
      <c r="M58" s="148" t="s">
        <v>2230</v>
      </c>
    </row>
    <row r="59" spans="1:13" ht="99.75">
      <c r="A59" s="148" t="str">
        <f t="shared" si="4"/>
        <v>InstructionsA62</v>
      </c>
      <c r="B59" s="148" t="s">
        <v>1608</v>
      </c>
      <c r="C59" s="148" t="s">
        <v>2231</v>
      </c>
      <c r="D59" s="148" t="s">
        <v>2232</v>
      </c>
      <c r="E59" s="148" t="s">
        <v>2233</v>
      </c>
      <c r="F59" s="148" t="s">
        <v>2234</v>
      </c>
      <c r="G59" s="148" t="s">
        <v>2235</v>
      </c>
      <c r="H59" s="148" t="s">
        <v>2236</v>
      </c>
      <c r="I59" s="148" t="s">
        <v>2237</v>
      </c>
      <c r="J59" s="148" t="s">
        <v>2238</v>
      </c>
      <c r="K59" s="224" t="s">
        <v>2239</v>
      </c>
      <c r="L59" s="230" t="s">
        <v>2240</v>
      </c>
      <c r="M59" s="148" t="s">
        <v>2241</v>
      </c>
    </row>
    <row r="60" spans="1:13" ht="199.5">
      <c r="A60" s="148" t="str">
        <f t="shared" si="4"/>
        <v>InstructionsA63</v>
      </c>
      <c r="B60" s="148" t="s">
        <v>1608</v>
      </c>
      <c r="C60" s="148" t="s">
        <v>2242</v>
      </c>
      <c r="D60" s="148" t="s">
        <v>2243</v>
      </c>
      <c r="E60" s="148" t="s">
        <v>2244</v>
      </c>
      <c r="F60" s="148" t="s">
        <v>2245</v>
      </c>
      <c r="G60" s="148" t="s">
        <v>2246</v>
      </c>
      <c r="H60" s="148" t="s">
        <v>2247</v>
      </c>
      <c r="I60" s="148" t="s">
        <v>2248</v>
      </c>
      <c r="J60" s="148" t="s">
        <v>2249</v>
      </c>
      <c r="K60" s="224" t="s">
        <v>2250</v>
      </c>
      <c r="L60" s="230" t="s">
        <v>2251</v>
      </c>
      <c r="M60" s="148" t="s">
        <v>2252</v>
      </c>
    </row>
    <row r="61" spans="1:13" ht="228">
      <c r="A61" s="148" t="str">
        <f t="shared" si="4"/>
        <v>InstructionsA64</v>
      </c>
      <c r="B61" s="148" t="s">
        <v>1608</v>
      </c>
      <c r="C61" s="148" t="s">
        <v>2253</v>
      </c>
      <c r="D61" s="148" t="s">
        <v>2254</v>
      </c>
      <c r="E61" s="148" t="s">
        <v>2255</v>
      </c>
      <c r="F61" s="148" t="s">
        <v>2256</v>
      </c>
      <c r="G61" s="148" t="s">
        <v>2257</v>
      </c>
      <c r="H61" s="148" t="s">
        <v>2258</v>
      </c>
      <c r="I61" s="148" t="s">
        <v>2259</v>
      </c>
      <c r="J61" s="148" t="s">
        <v>2260</v>
      </c>
      <c r="K61" s="224" t="s">
        <v>2261</v>
      </c>
      <c r="L61" s="230" t="s">
        <v>2262</v>
      </c>
      <c r="M61" s="148" t="s">
        <v>2263</v>
      </c>
    </row>
    <row r="62" spans="1:13" ht="128.25">
      <c r="A62" s="148" t="str">
        <f t="shared" si="4"/>
        <v>InstructionsA65</v>
      </c>
      <c r="B62" s="148" t="s">
        <v>1608</v>
      </c>
      <c r="C62" s="148" t="s">
        <v>2264</v>
      </c>
      <c r="D62" s="148" t="s">
        <v>2265</v>
      </c>
      <c r="E62" s="148" t="s">
        <v>2266</v>
      </c>
      <c r="F62" s="256" t="s">
        <v>2267</v>
      </c>
      <c r="G62" s="232" t="s">
        <v>2268</v>
      </c>
      <c r="H62" s="232" t="s">
        <v>2269</v>
      </c>
      <c r="I62" s="232" t="s">
        <v>2270</v>
      </c>
      <c r="J62" s="226" t="s">
        <v>2271</v>
      </c>
      <c r="K62" s="233" t="s">
        <v>2272</v>
      </c>
      <c r="L62" s="226" t="s">
        <v>2273</v>
      </c>
      <c r="M62" s="232" t="s">
        <v>2274</v>
      </c>
    </row>
    <row r="63" spans="1:13" ht="57">
      <c r="A63" s="148" t="str">
        <f t="shared" si="4"/>
        <v>InstructionsA66</v>
      </c>
      <c r="B63" s="148" t="s">
        <v>1608</v>
      </c>
      <c r="C63" s="148" t="s">
        <v>2275</v>
      </c>
      <c r="D63" s="148" t="s">
        <v>2276</v>
      </c>
      <c r="E63" s="148" t="s">
        <v>2277</v>
      </c>
      <c r="F63" s="148" t="s">
        <v>2278</v>
      </c>
      <c r="G63" s="148" t="s">
        <v>2279</v>
      </c>
      <c r="H63" s="148" t="s">
        <v>2280</v>
      </c>
      <c r="I63" s="148" t="s">
        <v>2281</v>
      </c>
      <c r="J63" s="148" t="s">
        <v>2282</v>
      </c>
      <c r="K63" s="224" t="s">
        <v>2283</v>
      </c>
      <c r="L63" s="230" t="s">
        <v>2284</v>
      </c>
      <c r="M63" s="148" t="s">
        <v>2285</v>
      </c>
    </row>
    <row r="64" spans="1:13" ht="213.75">
      <c r="A64" s="148" t="str">
        <f t="shared" si="4"/>
        <v>InstructionsA67</v>
      </c>
      <c r="B64" s="148" t="s">
        <v>1608</v>
      </c>
      <c r="C64" s="148" t="s">
        <v>2286</v>
      </c>
      <c r="D64" s="148" t="s">
        <v>2287</v>
      </c>
      <c r="E64" s="148" t="s">
        <v>2288</v>
      </c>
      <c r="F64" s="148" t="s">
        <v>2289</v>
      </c>
      <c r="G64" s="148" t="s">
        <v>2290</v>
      </c>
      <c r="H64" s="136" t="s">
        <v>2291</v>
      </c>
      <c r="I64" s="148" t="s">
        <v>2292</v>
      </c>
      <c r="J64" s="148" t="s">
        <v>2293</v>
      </c>
      <c r="K64" s="224" t="s">
        <v>2294</v>
      </c>
      <c r="L64" s="230" t="s">
        <v>2295</v>
      </c>
      <c r="M64" s="148" t="s">
        <v>2296</v>
      </c>
    </row>
    <row r="65" spans="1:15" ht="42.75">
      <c r="A65" s="148" t="str">
        <f t="shared" si="4"/>
        <v>InstructionsA68</v>
      </c>
      <c r="B65" s="148" t="s">
        <v>1608</v>
      </c>
      <c r="C65" s="148" t="s">
        <v>2297</v>
      </c>
      <c r="D65" s="148" t="s">
        <v>2298</v>
      </c>
      <c r="E65" s="225" t="s">
        <v>2299</v>
      </c>
      <c r="F65" s="148" t="s">
        <v>2300</v>
      </c>
      <c r="G65" s="148" t="s">
        <v>2301</v>
      </c>
      <c r="H65" s="136" t="s">
        <v>2302</v>
      </c>
      <c r="I65" s="148" t="s">
        <v>2303</v>
      </c>
      <c r="J65" s="148" t="s">
        <v>2304</v>
      </c>
      <c r="K65" s="224" t="s">
        <v>2305</v>
      </c>
      <c r="L65" s="230" t="s">
        <v>2306</v>
      </c>
      <c r="M65" s="148" t="s">
        <v>2307</v>
      </c>
    </row>
    <row r="66" spans="1:15" ht="356.25">
      <c r="A66" s="148" t="str">
        <f t="shared" si="4"/>
        <v>InstructionsA69</v>
      </c>
      <c r="B66" s="148" t="s">
        <v>1608</v>
      </c>
      <c r="C66" s="148" t="s">
        <v>2308</v>
      </c>
      <c r="D66" s="148" t="s">
        <v>2309</v>
      </c>
      <c r="E66" s="250" t="s">
        <v>2310</v>
      </c>
      <c r="F66" s="148" t="s">
        <v>2311</v>
      </c>
      <c r="G66" s="262" t="s">
        <v>2312</v>
      </c>
      <c r="H66" s="136" t="s">
        <v>2313</v>
      </c>
      <c r="I66" s="148" t="s">
        <v>2314</v>
      </c>
      <c r="J66" s="148" t="s">
        <v>2315</v>
      </c>
      <c r="K66" s="224" t="s">
        <v>2316</v>
      </c>
      <c r="L66" s="230" t="s">
        <v>2317</v>
      </c>
      <c r="M66" s="148" t="s">
        <v>2318</v>
      </c>
    </row>
    <row r="67" spans="1:15" ht="185.25">
      <c r="A67" s="148" t="str">
        <f t="shared" si="4"/>
        <v>InstructionsA70</v>
      </c>
      <c r="B67" s="148" t="s">
        <v>1608</v>
      </c>
      <c r="C67" s="148" t="s">
        <v>2319</v>
      </c>
      <c r="D67" s="148" t="s">
        <v>2320</v>
      </c>
      <c r="E67" s="250" t="s">
        <v>2321</v>
      </c>
      <c r="F67" s="148" t="s">
        <v>2322</v>
      </c>
      <c r="G67" s="148" t="s">
        <v>2323</v>
      </c>
      <c r="H67" s="136" t="s">
        <v>2324</v>
      </c>
      <c r="I67" s="148" t="s">
        <v>2325</v>
      </c>
      <c r="J67" s="148" t="s">
        <v>2326</v>
      </c>
      <c r="K67" s="224" t="s">
        <v>2327</v>
      </c>
      <c r="L67" s="230" t="s">
        <v>2328</v>
      </c>
      <c r="M67" s="148" t="s">
        <v>2329</v>
      </c>
    </row>
    <row r="68" spans="1:15" ht="171">
      <c r="A68" s="148" t="str">
        <f t="shared" si="4"/>
        <v>InstructionsA71</v>
      </c>
      <c r="B68" s="148" t="s">
        <v>1608</v>
      </c>
      <c r="C68" s="148" t="s">
        <v>2330</v>
      </c>
      <c r="D68" s="148" t="s">
        <v>2331</v>
      </c>
      <c r="E68" s="250" t="s">
        <v>2332</v>
      </c>
      <c r="F68" s="148" t="s">
        <v>2333</v>
      </c>
      <c r="G68" s="262" t="s">
        <v>2334</v>
      </c>
      <c r="H68" s="136" t="s">
        <v>2335</v>
      </c>
      <c r="I68" s="148" t="s">
        <v>2336</v>
      </c>
      <c r="J68" s="148" t="s">
        <v>2337</v>
      </c>
      <c r="K68" s="224" t="s">
        <v>2338</v>
      </c>
      <c r="L68" s="230" t="s">
        <v>2339</v>
      </c>
      <c r="M68" s="148" t="s">
        <v>2340</v>
      </c>
    </row>
    <row r="69" spans="1:15" ht="342">
      <c r="A69" s="148" t="str">
        <f t="shared" si="4"/>
        <v>InstructionsA72</v>
      </c>
      <c r="B69" s="148" t="s">
        <v>1608</v>
      </c>
      <c r="C69" s="148" t="s">
        <v>2341</v>
      </c>
      <c r="D69" s="148" t="s">
        <v>2342</v>
      </c>
      <c r="E69" s="250" t="s">
        <v>2343</v>
      </c>
      <c r="F69" s="148" t="s">
        <v>2344</v>
      </c>
      <c r="G69" s="148" t="s">
        <v>2345</v>
      </c>
      <c r="H69" s="136" t="s">
        <v>2346</v>
      </c>
      <c r="I69" s="148" t="s">
        <v>2347</v>
      </c>
      <c r="J69" s="148" t="s">
        <v>2348</v>
      </c>
      <c r="K69" s="224" t="s">
        <v>2349</v>
      </c>
      <c r="L69" s="230" t="s">
        <v>2350</v>
      </c>
      <c r="M69" s="148" t="s">
        <v>2351</v>
      </c>
    </row>
    <row r="70" spans="1:15" ht="114">
      <c r="A70" s="148" t="str">
        <f t="shared" si="4"/>
        <v>InstructionsA73</v>
      </c>
      <c r="B70" s="148" t="s">
        <v>1608</v>
      </c>
      <c r="C70" s="148" t="s">
        <v>2352</v>
      </c>
      <c r="D70" s="148" t="s">
        <v>2353</v>
      </c>
      <c r="E70" s="250" t="s">
        <v>2354</v>
      </c>
      <c r="F70" s="148" t="s">
        <v>2355</v>
      </c>
      <c r="G70" s="148" t="s">
        <v>2356</v>
      </c>
      <c r="H70" s="136" t="s">
        <v>2357</v>
      </c>
      <c r="I70" s="148" t="s">
        <v>2358</v>
      </c>
      <c r="J70" s="148" t="s">
        <v>2359</v>
      </c>
      <c r="K70" s="224" t="s">
        <v>2360</v>
      </c>
      <c r="L70" s="230" t="s">
        <v>2361</v>
      </c>
      <c r="M70" s="148" t="s">
        <v>2362</v>
      </c>
    </row>
    <row r="71" spans="1:15" ht="57">
      <c r="A71" s="148" t="str">
        <f t="shared" si="4"/>
        <v>InstructionsA74</v>
      </c>
      <c r="B71" s="148" t="s">
        <v>1608</v>
      </c>
      <c r="C71" s="148" t="s">
        <v>2363</v>
      </c>
      <c r="D71" s="148" t="s">
        <v>2364</v>
      </c>
      <c r="E71" s="206" t="s">
        <v>2365</v>
      </c>
      <c r="F71" s="148" t="s">
        <v>2366</v>
      </c>
      <c r="G71" s="148" t="s">
        <v>2367</v>
      </c>
      <c r="H71" s="136" t="s">
        <v>2368</v>
      </c>
      <c r="I71" s="148" t="s">
        <v>2369</v>
      </c>
      <c r="J71" s="148" t="s">
        <v>2370</v>
      </c>
      <c r="K71" s="224" t="s">
        <v>2371</v>
      </c>
      <c r="L71" s="230" t="s">
        <v>2372</v>
      </c>
      <c r="M71" s="148" t="s">
        <v>2373</v>
      </c>
    </row>
    <row r="72" spans="1:15">
      <c r="A72" s="148" t="str">
        <f t="shared" si="4"/>
        <v>DefinitionsB2</v>
      </c>
      <c r="B72" s="148" t="s">
        <v>2374</v>
      </c>
      <c r="C72" s="148" t="s">
        <v>2375</v>
      </c>
      <c r="D72" s="148" t="s">
        <v>2376</v>
      </c>
      <c r="E72" s="225" t="s">
        <v>2377</v>
      </c>
      <c r="F72" s="148" t="s">
        <v>2378</v>
      </c>
      <c r="G72" s="148" t="s">
        <v>2379</v>
      </c>
      <c r="H72" s="136" t="s">
        <v>2376</v>
      </c>
      <c r="I72" s="148" t="s">
        <v>2380</v>
      </c>
      <c r="J72" s="148" t="s">
        <v>2381</v>
      </c>
      <c r="K72" s="224" t="s">
        <v>2382</v>
      </c>
      <c r="L72" s="230" t="s">
        <v>2383</v>
      </c>
      <c r="M72" s="148" t="s">
        <v>2384</v>
      </c>
    </row>
    <row r="73" spans="1:15" ht="28.5">
      <c r="A73" s="148" t="str">
        <f t="shared" si="4"/>
        <v>DefinitionsB3</v>
      </c>
      <c r="B73" s="148" t="s">
        <v>2374</v>
      </c>
      <c r="C73" s="148" t="s">
        <v>2385</v>
      </c>
      <c r="D73" s="148" t="s">
        <v>2386</v>
      </c>
      <c r="E73" s="206" t="s">
        <v>2387</v>
      </c>
      <c r="F73" s="148" t="s">
        <v>2386</v>
      </c>
      <c r="G73" s="148" t="s">
        <v>2386</v>
      </c>
      <c r="H73" s="136" t="s">
        <v>2386</v>
      </c>
      <c r="I73" s="148" t="s">
        <v>2386</v>
      </c>
      <c r="J73" s="148" t="s">
        <v>2386</v>
      </c>
      <c r="K73" s="224" t="s">
        <v>2386</v>
      </c>
      <c r="L73" s="230" t="s">
        <v>2386</v>
      </c>
      <c r="M73" s="148" t="s">
        <v>2386</v>
      </c>
    </row>
    <row r="74" spans="1:15">
      <c r="A74" s="148" t="str">
        <f t="shared" si="4"/>
        <v>DefinitionsB4</v>
      </c>
      <c r="B74" s="148" t="s">
        <v>2374</v>
      </c>
      <c r="C74" s="148" t="s">
        <v>2388</v>
      </c>
      <c r="D74" s="148" t="s">
        <v>2389</v>
      </c>
      <c r="E74" s="225" t="s">
        <v>2390</v>
      </c>
      <c r="F74" s="148" t="s">
        <v>2391</v>
      </c>
      <c r="G74" s="148" t="s">
        <v>2392</v>
      </c>
      <c r="H74" s="136" t="s">
        <v>2393</v>
      </c>
      <c r="I74" s="148" t="s">
        <v>2394</v>
      </c>
      <c r="J74" s="148" t="s">
        <v>2395</v>
      </c>
      <c r="K74" s="224" t="s">
        <v>2396</v>
      </c>
      <c r="L74" s="230" t="s">
        <v>2397</v>
      </c>
      <c r="M74" s="148" t="s">
        <v>2398</v>
      </c>
    </row>
    <row r="75" spans="1:15" ht="114">
      <c r="A75" s="148" t="str">
        <f t="shared" ref="A75" si="5">B75&amp;C75</f>
        <v>DefinitionsB5</v>
      </c>
      <c r="B75" s="148" t="s">
        <v>2374</v>
      </c>
      <c r="C75" s="148" t="s">
        <v>2399</v>
      </c>
      <c r="D75" s="148" t="s">
        <v>2400</v>
      </c>
      <c r="E75" s="148" t="s">
        <v>2401</v>
      </c>
      <c r="F75" s="148" t="s">
        <v>2402</v>
      </c>
      <c r="G75" s="148" t="s">
        <v>2403</v>
      </c>
      <c r="H75" s="148" t="s">
        <v>2404</v>
      </c>
      <c r="I75" s="148" t="s">
        <v>2405</v>
      </c>
      <c r="J75" s="148" t="s">
        <v>2406</v>
      </c>
      <c r="K75" s="148" t="s">
        <v>2407</v>
      </c>
      <c r="L75" s="148" t="s">
        <v>2408</v>
      </c>
      <c r="M75" s="148" t="s">
        <v>2409</v>
      </c>
      <c r="N75" s="148" t="s">
        <v>2400</v>
      </c>
      <c r="O75" s="148" t="s">
        <v>2400</v>
      </c>
    </row>
    <row r="76" spans="1:15" ht="28.5">
      <c r="A76" s="148" t="str">
        <f>B76&amp;C76</f>
        <v>DefinitionsB6</v>
      </c>
      <c r="B76" s="148" t="s">
        <v>2374</v>
      </c>
      <c r="C76" s="148" t="s">
        <v>2410</v>
      </c>
      <c r="D76" s="148" t="s">
        <v>2411</v>
      </c>
      <c r="E76" s="225" t="s">
        <v>2412</v>
      </c>
      <c r="F76" s="148" t="s">
        <v>2413</v>
      </c>
      <c r="G76" s="148" t="s">
        <v>2414</v>
      </c>
      <c r="H76" s="148" t="s">
        <v>2415</v>
      </c>
      <c r="I76" s="148" t="s">
        <v>2416</v>
      </c>
      <c r="J76" s="148" t="s">
        <v>2417</v>
      </c>
      <c r="K76" s="224" t="s">
        <v>2418</v>
      </c>
      <c r="L76" s="230" t="s">
        <v>2419</v>
      </c>
      <c r="M76" s="148" t="s">
        <v>2420</v>
      </c>
      <c r="N76" s="103" t="s">
        <v>2421</v>
      </c>
    </row>
    <row r="77" spans="1:15">
      <c r="A77" s="148" t="str">
        <f>B77&amp;C77</f>
        <v>DefinitionsB7</v>
      </c>
      <c r="B77" s="148" t="s">
        <v>2374</v>
      </c>
      <c r="C77" s="148" t="s">
        <v>2422</v>
      </c>
      <c r="D77" s="148" t="s">
        <v>2423</v>
      </c>
      <c r="E77" s="206" t="s">
        <v>2424</v>
      </c>
      <c r="F77" s="148" t="s">
        <v>2425</v>
      </c>
      <c r="G77" s="148" t="s">
        <v>2426</v>
      </c>
      <c r="H77" s="136" t="s">
        <v>2427</v>
      </c>
      <c r="I77" s="148" t="s">
        <v>2428</v>
      </c>
      <c r="J77" s="148" t="s">
        <v>2429</v>
      </c>
      <c r="K77" s="224" t="s">
        <v>2430</v>
      </c>
      <c r="L77" s="230" t="s">
        <v>2431</v>
      </c>
      <c r="M77" s="148" t="s">
        <v>2432</v>
      </c>
      <c r="N77" s="103" t="s">
        <v>2433</v>
      </c>
    </row>
    <row r="78" spans="1:15">
      <c r="A78" s="148" t="str">
        <f>B78&amp;C78</f>
        <v>DefinitionsB8</v>
      </c>
      <c r="B78" s="148" t="s">
        <v>2374</v>
      </c>
      <c r="C78" s="148" t="s">
        <v>2434</v>
      </c>
      <c r="D78" s="148" t="s">
        <v>2435</v>
      </c>
      <c r="E78" s="206" t="s">
        <v>2436</v>
      </c>
      <c r="F78" s="148" t="s">
        <v>2437</v>
      </c>
      <c r="G78" s="148" t="s">
        <v>2438</v>
      </c>
      <c r="H78" s="136" t="s">
        <v>2439</v>
      </c>
      <c r="I78" s="148" t="s">
        <v>2440</v>
      </c>
      <c r="J78" s="148" t="s">
        <v>2441</v>
      </c>
      <c r="K78" s="224" t="s">
        <v>2442</v>
      </c>
      <c r="L78" s="230" t="s">
        <v>2443</v>
      </c>
      <c r="M78" s="148" t="s">
        <v>2444</v>
      </c>
      <c r="N78" s="103" t="s">
        <v>2445</v>
      </c>
    </row>
    <row r="79" spans="1:15" ht="42.75">
      <c r="A79" s="148" t="str">
        <f>B79&amp;C79</f>
        <v>DefinitionsB9</v>
      </c>
      <c r="B79" s="148" t="s">
        <v>2374</v>
      </c>
      <c r="C79" s="148" t="s">
        <v>2446</v>
      </c>
      <c r="D79" s="148" t="s">
        <v>2447</v>
      </c>
      <c r="E79" s="206" t="s">
        <v>2448</v>
      </c>
      <c r="F79" s="148" t="s">
        <v>2449</v>
      </c>
      <c r="G79" s="148" t="s">
        <v>2447</v>
      </c>
      <c r="H79" s="148" t="s">
        <v>2447</v>
      </c>
      <c r="I79" s="148" t="s">
        <v>2447</v>
      </c>
      <c r="J79" s="148" t="s">
        <v>2447</v>
      </c>
      <c r="K79" s="224" t="s">
        <v>2447</v>
      </c>
      <c r="L79" s="230" t="s">
        <v>2447</v>
      </c>
      <c r="M79" s="148" t="s">
        <v>2447</v>
      </c>
      <c r="N79" s="103" t="s">
        <v>2450</v>
      </c>
    </row>
    <row r="80" spans="1:15">
      <c r="A80" s="148" t="str">
        <f>B80&amp;C80</f>
        <v>DefinitionsB10</v>
      </c>
      <c r="B80" s="148" t="s">
        <v>2374</v>
      </c>
      <c r="C80" s="148" t="s">
        <v>2451</v>
      </c>
      <c r="D80" s="148" t="s">
        <v>2452</v>
      </c>
      <c r="E80" s="225" t="s">
        <v>2453</v>
      </c>
      <c r="F80" s="148" t="s">
        <v>2454</v>
      </c>
      <c r="G80" s="148" t="s">
        <v>2455</v>
      </c>
      <c r="H80" s="148" t="s">
        <v>2456</v>
      </c>
      <c r="I80" s="148" t="s">
        <v>2456</v>
      </c>
      <c r="J80" s="148" t="s">
        <v>2457</v>
      </c>
      <c r="K80" s="224" t="s">
        <v>2452</v>
      </c>
      <c r="L80" s="230" t="s">
        <v>2456</v>
      </c>
      <c r="M80" s="148" t="s">
        <v>2458</v>
      </c>
      <c r="N80" s="103" t="s">
        <v>2459</v>
      </c>
    </row>
    <row r="81" spans="1:14" ht="28.5">
      <c r="A81" s="148" t="str">
        <f t="shared" ref="A81" si="6">B81&amp;C81</f>
        <v>DefinitionsB11</v>
      </c>
      <c r="B81" s="148" t="s">
        <v>2374</v>
      </c>
      <c r="C81" s="148" t="s">
        <v>2460</v>
      </c>
      <c r="D81" s="148" t="s">
        <v>2461</v>
      </c>
      <c r="E81" s="206" t="s">
        <v>2462</v>
      </c>
      <c r="F81" s="148" t="s">
        <v>2463</v>
      </c>
      <c r="G81" s="148" t="s">
        <v>2464</v>
      </c>
      <c r="H81" s="148" t="s">
        <v>2465</v>
      </c>
      <c r="I81" s="148" t="s">
        <v>2466</v>
      </c>
      <c r="J81" s="148" t="s">
        <v>2467</v>
      </c>
      <c r="K81" s="224" t="s">
        <v>2468</v>
      </c>
      <c r="L81" s="230" t="s">
        <v>2469</v>
      </c>
      <c r="M81" s="148" t="s">
        <v>2470</v>
      </c>
      <c r="N81" s="103" t="s">
        <v>2471</v>
      </c>
    </row>
    <row r="82" spans="1:14">
      <c r="A82" s="148" t="str">
        <f t="shared" ref="A82:A104" si="7">B82&amp;C82</f>
        <v>DefinitionsB12</v>
      </c>
      <c r="B82" s="148" t="s">
        <v>2374</v>
      </c>
      <c r="C82" s="148" t="s">
        <v>2472</v>
      </c>
      <c r="D82" s="148" t="s">
        <v>2473</v>
      </c>
      <c r="E82" s="206" t="s">
        <v>2474</v>
      </c>
      <c r="F82" s="148" t="s">
        <v>2475</v>
      </c>
      <c r="G82" s="148" t="s">
        <v>2476</v>
      </c>
      <c r="H82" s="148" t="s">
        <v>2477</v>
      </c>
      <c r="I82" s="148" t="s">
        <v>2478</v>
      </c>
      <c r="J82" s="148" t="s">
        <v>2479</v>
      </c>
      <c r="K82" s="224" t="s">
        <v>2480</v>
      </c>
      <c r="L82" s="230" t="s">
        <v>2481</v>
      </c>
      <c r="M82" s="148" t="s">
        <v>2482</v>
      </c>
      <c r="N82" s="103" t="s">
        <v>2483</v>
      </c>
    </row>
    <row r="83" spans="1:14" ht="28.5">
      <c r="A83" s="148" t="str">
        <f t="shared" si="7"/>
        <v>DefinitionsB13</v>
      </c>
      <c r="B83" s="148" t="s">
        <v>2374</v>
      </c>
      <c r="C83" s="148" t="s">
        <v>2484</v>
      </c>
      <c r="D83" s="148" t="s">
        <v>2485</v>
      </c>
      <c r="E83" s="206" t="s">
        <v>2486</v>
      </c>
      <c r="F83" s="148" t="s">
        <v>2487</v>
      </c>
      <c r="G83" s="148" t="s">
        <v>2488</v>
      </c>
      <c r="H83" s="148" t="s">
        <v>2489</v>
      </c>
      <c r="I83" s="148" t="s">
        <v>2490</v>
      </c>
      <c r="J83" s="148" t="s">
        <v>2491</v>
      </c>
      <c r="K83" s="224" t="s">
        <v>2492</v>
      </c>
      <c r="L83" s="230" t="s">
        <v>2493</v>
      </c>
      <c r="M83" s="148" t="s">
        <v>2494</v>
      </c>
      <c r="N83" s="103" t="s">
        <v>2495</v>
      </c>
    </row>
    <row r="84" spans="1:14">
      <c r="A84" s="148" t="str">
        <f t="shared" si="7"/>
        <v>DefinitionsB14</v>
      </c>
      <c r="B84" s="148" t="s">
        <v>2374</v>
      </c>
      <c r="C84" s="148" t="s">
        <v>2496</v>
      </c>
      <c r="D84" s="148" t="s">
        <v>2497</v>
      </c>
      <c r="E84" s="206" t="s">
        <v>2498</v>
      </c>
      <c r="F84" s="148" t="s">
        <v>2499</v>
      </c>
      <c r="G84" s="148" t="s">
        <v>2500</v>
      </c>
      <c r="H84" s="148" t="s">
        <v>2501</v>
      </c>
      <c r="I84" s="148" t="s">
        <v>2502</v>
      </c>
      <c r="J84" s="148" t="s">
        <v>2503</v>
      </c>
      <c r="K84" s="224" t="s">
        <v>2504</v>
      </c>
      <c r="L84" s="230" t="s">
        <v>2505</v>
      </c>
      <c r="M84" s="148" t="s">
        <v>2506</v>
      </c>
      <c r="N84" s="103" t="s">
        <v>2507</v>
      </c>
    </row>
    <row r="85" spans="1:14">
      <c r="A85" s="148" t="str">
        <f t="shared" si="7"/>
        <v>DefinitionsB15</v>
      </c>
      <c r="B85" s="148" t="s">
        <v>2374</v>
      </c>
      <c r="C85" s="148" t="s">
        <v>2508</v>
      </c>
      <c r="D85" s="148" t="s">
        <v>2509</v>
      </c>
      <c r="E85" s="206" t="s">
        <v>2509</v>
      </c>
      <c r="F85" s="148" t="s">
        <v>2509</v>
      </c>
      <c r="G85" s="148" t="s">
        <v>2509</v>
      </c>
      <c r="H85" s="148" t="s">
        <v>2509</v>
      </c>
      <c r="I85" s="148" t="s">
        <v>2509</v>
      </c>
      <c r="J85" s="148" t="s">
        <v>2509</v>
      </c>
      <c r="K85" s="224" t="s">
        <v>2509</v>
      </c>
      <c r="L85" s="230" t="s">
        <v>2509</v>
      </c>
      <c r="M85" s="148" t="s">
        <v>2509</v>
      </c>
      <c r="N85" s="103" t="s">
        <v>2510</v>
      </c>
    </row>
    <row r="86" spans="1:14" ht="28.5">
      <c r="A86" s="148" t="str">
        <f t="shared" si="7"/>
        <v>DefinitionsB16</v>
      </c>
      <c r="B86" s="148" t="s">
        <v>2374</v>
      </c>
      <c r="C86" s="148" t="s">
        <v>2511</v>
      </c>
      <c r="D86" s="148" t="s">
        <v>2512</v>
      </c>
      <c r="E86" s="206" t="s">
        <v>2513</v>
      </c>
      <c r="F86" s="148" t="s">
        <v>2514</v>
      </c>
      <c r="G86" s="148" t="s">
        <v>2515</v>
      </c>
      <c r="H86" s="148" t="s">
        <v>2516</v>
      </c>
      <c r="I86" s="148" t="s">
        <v>2517</v>
      </c>
      <c r="J86" s="148" t="s">
        <v>2518</v>
      </c>
      <c r="K86" s="224" t="s">
        <v>2519</v>
      </c>
      <c r="L86" s="230" t="s">
        <v>2520</v>
      </c>
      <c r="M86" s="148" t="s">
        <v>2521</v>
      </c>
      <c r="N86" s="103" t="s">
        <v>2522</v>
      </c>
    </row>
    <row r="87" spans="1:14">
      <c r="A87" s="148" t="str">
        <f t="shared" si="7"/>
        <v>DefinitionsB17</v>
      </c>
      <c r="B87" s="148" t="s">
        <v>2374</v>
      </c>
      <c r="C87" s="148" t="s">
        <v>2523</v>
      </c>
      <c r="D87" s="148" t="s">
        <v>2524</v>
      </c>
      <c r="E87" s="206" t="s">
        <v>2525</v>
      </c>
      <c r="F87" s="148" t="s">
        <v>2526</v>
      </c>
      <c r="G87" s="148" t="s">
        <v>2527</v>
      </c>
      <c r="H87" s="148" t="s">
        <v>2528</v>
      </c>
      <c r="I87" s="148" t="s">
        <v>2529</v>
      </c>
      <c r="J87" s="148" t="s">
        <v>2530</v>
      </c>
      <c r="K87" s="224" t="s">
        <v>2531</v>
      </c>
      <c r="L87" s="230" t="s">
        <v>2532</v>
      </c>
      <c r="M87" s="148" t="s">
        <v>2533</v>
      </c>
      <c r="N87" s="103" t="s">
        <v>2534</v>
      </c>
    </row>
    <row r="88" spans="1:14">
      <c r="A88" s="148" t="str">
        <f t="shared" si="7"/>
        <v>DefinitionsB18</v>
      </c>
      <c r="B88" s="148" t="s">
        <v>2374</v>
      </c>
      <c r="C88" s="148" t="s">
        <v>2535</v>
      </c>
      <c r="D88" s="148" t="s">
        <v>2536</v>
      </c>
      <c r="E88" s="206" t="s">
        <v>2537</v>
      </c>
      <c r="F88" s="148" t="s">
        <v>2538</v>
      </c>
      <c r="G88" s="148" t="s">
        <v>2539</v>
      </c>
      <c r="H88" s="148" t="s">
        <v>2540</v>
      </c>
      <c r="I88" s="148" t="s">
        <v>2541</v>
      </c>
      <c r="J88" s="148" t="s">
        <v>2542</v>
      </c>
      <c r="K88" s="224" t="s">
        <v>2543</v>
      </c>
      <c r="L88" s="230" t="s">
        <v>2544</v>
      </c>
      <c r="M88" s="148" t="s">
        <v>2545</v>
      </c>
      <c r="N88" s="103" t="s">
        <v>2546</v>
      </c>
    </row>
    <row r="89" spans="1:14" ht="28.5">
      <c r="A89" s="148" t="str">
        <f t="shared" si="7"/>
        <v>DefinitionsB19</v>
      </c>
      <c r="B89" s="148" t="s">
        <v>2374</v>
      </c>
      <c r="C89" s="148" t="s">
        <v>2547</v>
      </c>
      <c r="D89" s="148" t="s">
        <v>2548</v>
      </c>
      <c r="E89" s="206" t="s">
        <v>2549</v>
      </c>
      <c r="F89" s="148" t="s">
        <v>2550</v>
      </c>
      <c r="G89" s="148" t="s">
        <v>2548</v>
      </c>
      <c r="H89" s="148" t="s">
        <v>2551</v>
      </c>
      <c r="I89" s="148" t="s">
        <v>2551</v>
      </c>
      <c r="J89" s="148" t="s">
        <v>2548</v>
      </c>
      <c r="K89" s="224" t="s">
        <v>2548</v>
      </c>
      <c r="L89" s="230" t="s">
        <v>2548</v>
      </c>
      <c r="M89" s="148" t="s">
        <v>2548</v>
      </c>
      <c r="N89" s="103" t="s">
        <v>2552</v>
      </c>
    </row>
    <row r="90" spans="1:14">
      <c r="A90" s="148" t="str">
        <f t="shared" si="7"/>
        <v>DefinitionsB20</v>
      </c>
      <c r="B90" s="148" t="s">
        <v>2374</v>
      </c>
      <c r="C90" s="148" t="s">
        <v>2553</v>
      </c>
      <c r="D90" s="148" t="s">
        <v>2554</v>
      </c>
      <c r="E90" s="206" t="s">
        <v>2555</v>
      </c>
      <c r="F90" s="148" t="s">
        <v>2556</v>
      </c>
      <c r="G90" s="148" t="s">
        <v>2557</v>
      </c>
      <c r="H90" s="148" t="s">
        <v>2558</v>
      </c>
      <c r="I90" s="148" t="s">
        <v>2559</v>
      </c>
      <c r="J90" s="148" t="s">
        <v>2560</v>
      </c>
      <c r="K90" s="224" t="s">
        <v>2561</v>
      </c>
      <c r="L90" s="230" t="s">
        <v>2562</v>
      </c>
      <c r="M90" s="148" t="s">
        <v>2563</v>
      </c>
      <c r="N90" s="103" t="s">
        <v>2564</v>
      </c>
    </row>
    <row r="91" spans="1:14">
      <c r="A91" s="148" t="str">
        <f t="shared" si="7"/>
        <v>DefinitionsB21</v>
      </c>
      <c r="B91" s="148" t="s">
        <v>2374</v>
      </c>
      <c r="C91" s="148" t="s">
        <v>2565</v>
      </c>
      <c r="D91" s="148" t="s">
        <v>2566</v>
      </c>
      <c r="E91" s="225" t="s">
        <v>2567</v>
      </c>
      <c r="F91" s="148" t="s">
        <v>2566</v>
      </c>
      <c r="G91" s="148" t="s">
        <v>2566</v>
      </c>
      <c r="H91" s="148" t="s">
        <v>2566</v>
      </c>
      <c r="I91" s="148" t="s">
        <v>2566</v>
      </c>
      <c r="J91" s="148" t="s">
        <v>2566</v>
      </c>
      <c r="K91" s="224" t="s">
        <v>2566</v>
      </c>
      <c r="L91" s="230" t="s">
        <v>2566</v>
      </c>
      <c r="M91" s="148" t="s">
        <v>2566</v>
      </c>
      <c r="N91" s="103" t="s">
        <v>2568</v>
      </c>
    </row>
    <row r="92" spans="1:14" ht="28.5">
      <c r="A92" s="148" t="str">
        <f t="shared" si="7"/>
        <v>DefinitionsB22</v>
      </c>
      <c r="B92" s="148" t="s">
        <v>2374</v>
      </c>
      <c r="C92" s="148" t="s">
        <v>2569</v>
      </c>
      <c r="D92" s="148" t="s">
        <v>2570</v>
      </c>
      <c r="E92" s="206" t="s">
        <v>2571</v>
      </c>
      <c r="F92" s="148" t="s">
        <v>2572</v>
      </c>
      <c r="G92" s="148" t="s">
        <v>2573</v>
      </c>
      <c r="H92" s="148" t="s">
        <v>2574</v>
      </c>
      <c r="I92" s="148" t="s">
        <v>2575</v>
      </c>
      <c r="J92" s="148" t="s">
        <v>2576</v>
      </c>
      <c r="K92" s="224" t="s">
        <v>2577</v>
      </c>
      <c r="L92" s="230" t="s">
        <v>2578</v>
      </c>
      <c r="M92" s="148" t="s">
        <v>2579</v>
      </c>
      <c r="N92" s="103" t="s">
        <v>2580</v>
      </c>
    </row>
    <row r="93" spans="1:14" ht="28.5">
      <c r="A93" s="148" t="str">
        <f t="shared" si="7"/>
        <v>DefinitionsB23</v>
      </c>
      <c r="B93" s="148" t="s">
        <v>2374</v>
      </c>
      <c r="C93" s="148" t="s">
        <v>2581</v>
      </c>
      <c r="D93" s="148" t="s">
        <v>2582</v>
      </c>
      <c r="E93" s="206" t="s">
        <v>2583</v>
      </c>
      <c r="F93" s="148" t="s">
        <v>2584</v>
      </c>
      <c r="G93" s="148" t="s">
        <v>2585</v>
      </c>
      <c r="H93" s="148" t="s">
        <v>2586</v>
      </c>
      <c r="I93" s="148" t="s">
        <v>2587</v>
      </c>
      <c r="J93" s="148" t="s">
        <v>2582</v>
      </c>
      <c r="K93" s="224" t="s">
        <v>2588</v>
      </c>
      <c r="L93" s="235" t="s">
        <v>2582</v>
      </c>
      <c r="M93" s="148" t="s">
        <v>2589</v>
      </c>
      <c r="N93" s="103" t="s">
        <v>2590</v>
      </c>
    </row>
    <row r="94" spans="1:14" ht="28.5">
      <c r="A94" s="148" t="str">
        <f t="shared" si="7"/>
        <v>DefinitionsB24</v>
      </c>
      <c r="B94" s="148" t="s">
        <v>2374</v>
      </c>
      <c r="C94" s="148" t="s">
        <v>2591</v>
      </c>
      <c r="D94" s="148" t="s">
        <v>2592</v>
      </c>
      <c r="E94" s="206" t="s">
        <v>2593</v>
      </c>
      <c r="F94" s="148" t="s">
        <v>2594</v>
      </c>
      <c r="G94" s="148" t="s">
        <v>2595</v>
      </c>
      <c r="H94" s="148" t="s">
        <v>2596</v>
      </c>
      <c r="I94" s="148" t="s">
        <v>2592</v>
      </c>
      <c r="J94" s="148" t="s">
        <v>2592</v>
      </c>
      <c r="K94" s="224" t="s">
        <v>2597</v>
      </c>
      <c r="L94" s="230" t="s">
        <v>2598</v>
      </c>
      <c r="M94" s="148" t="s">
        <v>2599</v>
      </c>
      <c r="N94" s="103" t="s">
        <v>2600</v>
      </c>
    </row>
    <row r="95" spans="1:14" ht="101.65" customHeight="1">
      <c r="A95" s="148" t="str">
        <f t="shared" si="7"/>
        <v>DefinitionsB25</v>
      </c>
      <c r="B95" s="148" t="s">
        <v>2374</v>
      </c>
      <c r="C95" s="148" t="s">
        <v>2601</v>
      </c>
      <c r="D95" s="148" t="s">
        <v>2602</v>
      </c>
      <c r="E95" s="206" t="s">
        <v>2603</v>
      </c>
      <c r="F95" s="148" t="s">
        <v>2604</v>
      </c>
      <c r="G95" s="148" t="s">
        <v>2605</v>
      </c>
      <c r="H95" s="136" t="s">
        <v>2606</v>
      </c>
      <c r="I95" s="148" t="s">
        <v>2607</v>
      </c>
      <c r="J95" s="148" t="s">
        <v>2608</v>
      </c>
      <c r="K95" s="224" t="s">
        <v>2609</v>
      </c>
      <c r="L95" s="230" t="s">
        <v>2610</v>
      </c>
      <c r="M95" s="148" t="s">
        <v>2611</v>
      </c>
      <c r="N95" s="106" t="s">
        <v>2612</v>
      </c>
    </row>
    <row r="96" spans="1:14">
      <c r="A96" s="148" t="str">
        <f t="shared" si="7"/>
        <v>DefinitionsB26</v>
      </c>
      <c r="B96" s="148" t="s">
        <v>2374</v>
      </c>
      <c r="C96" s="148" t="s">
        <v>2613</v>
      </c>
      <c r="D96" s="148" t="s">
        <v>2614</v>
      </c>
      <c r="E96" s="206" t="s">
        <v>2615</v>
      </c>
      <c r="F96" s="148" t="s">
        <v>2616</v>
      </c>
      <c r="G96" s="148" t="s">
        <v>2617</v>
      </c>
      <c r="H96" s="148" t="s">
        <v>2614</v>
      </c>
      <c r="I96" s="148" t="s">
        <v>2614</v>
      </c>
      <c r="J96" s="148" t="s">
        <v>2614</v>
      </c>
      <c r="K96" s="224" t="s">
        <v>2614</v>
      </c>
      <c r="L96" s="230" t="s">
        <v>2614</v>
      </c>
      <c r="M96" s="148" t="s">
        <v>2614</v>
      </c>
      <c r="N96" s="103" t="s">
        <v>2618</v>
      </c>
    </row>
    <row r="97" spans="1:14" ht="28.5">
      <c r="A97" s="148" t="str">
        <f t="shared" si="7"/>
        <v>DefinitionsB27</v>
      </c>
      <c r="B97" s="148" t="s">
        <v>2374</v>
      </c>
      <c r="C97" s="148" t="s">
        <v>2619</v>
      </c>
      <c r="D97" s="148" t="s">
        <v>2620</v>
      </c>
      <c r="E97" s="206" t="s">
        <v>2621</v>
      </c>
      <c r="F97" s="148" t="s">
        <v>2622</v>
      </c>
      <c r="G97" s="148" t="s">
        <v>2623</v>
      </c>
      <c r="H97" s="148" t="s">
        <v>2624</v>
      </c>
      <c r="I97" s="148" t="s">
        <v>2625</v>
      </c>
      <c r="J97" s="148" t="s">
        <v>2626</v>
      </c>
      <c r="K97" s="224" t="s">
        <v>2627</v>
      </c>
      <c r="L97" s="230" t="s">
        <v>2628</v>
      </c>
      <c r="M97" s="148" t="s">
        <v>2629</v>
      </c>
      <c r="N97" s="103" t="s">
        <v>2630</v>
      </c>
    </row>
    <row r="98" spans="1:14">
      <c r="A98" s="148" t="str">
        <f t="shared" si="7"/>
        <v>DefinitionsB28</v>
      </c>
      <c r="B98" s="148" t="s">
        <v>2374</v>
      </c>
      <c r="C98" s="148" t="s">
        <v>2631</v>
      </c>
      <c r="D98" s="148" t="s">
        <v>2632</v>
      </c>
      <c r="E98" s="206" t="s">
        <v>2633</v>
      </c>
      <c r="F98" s="148" t="s">
        <v>2634</v>
      </c>
      <c r="G98" s="148" t="s">
        <v>2635</v>
      </c>
      <c r="H98" s="148" t="s">
        <v>2636</v>
      </c>
      <c r="I98" s="148" t="s">
        <v>2637</v>
      </c>
      <c r="J98" s="148" t="s">
        <v>2638</v>
      </c>
      <c r="K98" s="224" t="s">
        <v>2639</v>
      </c>
      <c r="L98" s="230" t="s">
        <v>2640</v>
      </c>
      <c r="M98" s="148" t="s">
        <v>2641</v>
      </c>
      <c r="N98" s="103" t="s">
        <v>2642</v>
      </c>
    </row>
    <row r="99" spans="1:14" ht="28.5">
      <c r="A99" s="148" t="str">
        <f t="shared" si="7"/>
        <v>DefinitionsB29</v>
      </c>
      <c r="B99" s="148" t="s">
        <v>2374</v>
      </c>
      <c r="C99" s="148" t="s">
        <v>2643</v>
      </c>
      <c r="D99" s="148" t="s">
        <v>2644</v>
      </c>
      <c r="E99" s="206" t="s">
        <v>2645</v>
      </c>
      <c r="F99" s="148" t="s">
        <v>2646</v>
      </c>
      <c r="G99" s="148" t="s">
        <v>2647</v>
      </c>
      <c r="H99" s="148" t="s">
        <v>2648</v>
      </c>
      <c r="I99" s="148" t="s">
        <v>2649</v>
      </c>
      <c r="J99" s="148" t="s">
        <v>2650</v>
      </c>
      <c r="K99" s="224" t="s">
        <v>2651</v>
      </c>
      <c r="L99" s="230" t="s">
        <v>2652</v>
      </c>
      <c r="M99" s="148" t="s">
        <v>2653</v>
      </c>
      <c r="N99" s="103" t="s">
        <v>2654</v>
      </c>
    </row>
    <row r="100" spans="1:14" ht="28.5">
      <c r="A100" s="148" t="str">
        <f t="shared" si="7"/>
        <v>DefinitionsB30</v>
      </c>
      <c r="B100" s="148" t="s">
        <v>2374</v>
      </c>
      <c r="C100" s="148" t="s">
        <v>2655</v>
      </c>
      <c r="D100" s="148" t="s">
        <v>2656</v>
      </c>
      <c r="E100" s="206" t="s">
        <v>2657</v>
      </c>
      <c r="F100" s="148" t="s">
        <v>2658</v>
      </c>
      <c r="G100" s="148" t="s">
        <v>2659</v>
      </c>
      <c r="H100" s="148" t="s">
        <v>2660</v>
      </c>
      <c r="I100" s="148" t="s">
        <v>2661</v>
      </c>
      <c r="J100" s="148" t="s">
        <v>2662</v>
      </c>
      <c r="K100" s="224" t="s">
        <v>2663</v>
      </c>
      <c r="L100" s="230" t="s">
        <v>2664</v>
      </c>
      <c r="M100" s="148" t="s">
        <v>2665</v>
      </c>
      <c r="N100" s="103" t="s">
        <v>2666</v>
      </c>
    </row>
    <row r="101" spans="1:14" ht="28.5">
      <c r="A101" s="148" t="str">
        <f t="shared" si="7"/>
        <v>DefinitionsB31</v>
      </c>
      <c r="B101" s="148" t="s">
        <v>2374</v>
      </c>
      <c r="C101" s="148" t="s">
        <v>2667</v>
      </c>
      <c r="D101" s="148" t="s">
        <v>2668</v>
      </c>
      <c r="E101" s="206" t="s">
        <v>2669</v>
      </c>
      <c r="F101" s="148" t="s">
        <v>2670</v>
      </c>
      <c r="G101" s="148" t="s">
        <v>2671</v>
      </c>
      <c r="H101" s="148" t="s">
        <v>2672</v>
      </c>
      <c r="I101" s="148" t="s">
        <v>2673</v>
      </c>
      <c r="J101" s="148" t="s">
        <v>2674</v>
      </c>
      <c r="K101" s="224" t="s">
        <v>2675</v>
      </c>
      <c r="L101" s="230" t="s">
        <v>2676</v>
      </c>
      <c r="M101" s="148" t="s">
        <v>2677</v>
      </c>
    </row>
    <row r="102" spans="1:14">
      <c r="A102" s="148" t="str">
        <f t="shared" si="7"/>
        <v>DefinitionsC2</v>
      </c>
      <c r="B102" s="148" t="s">
        <v>2374</v>
      </c>
      <c r="C102" s="148" t="s">
        <v>2678</v>
      </c>
      <c r="D102" s="148" t="s">
        <v>2679</v>
      </c>
      <c r="E102" s="225" t="s">
        <v>2680</v>
      </c>
      <c r="F102" s="148" t="s">
        <v>2681</v>
      </c>
      <c r="G102" s="148" t="s">
        <v>2682</v>
      </c>
      <c r="H102" s="148" t="s">
        <v>2679</v>
      </c>
      <c r="I102" s="148" t="s">
        <v>2683</v>
      </c>
      <c r="J102" s="148" t="s">
        <v>2684</v>
      </c>
      <c r="K102" s="224" t="s">
        <v>2685</v>
      </c>
      <c r="L102" s="230" t="s">
        <v>2686</v>
      </c>
      <c r="M102" s="148" t="s">
        <v>2687</v>
      </c>
    </row>
    <row r="103" spans="1:14">
      <c r="A103" s="148" t="str">
        <f t="shared" si="7"/>
        <v>DefinitionsC3</v>
      </c>
      <c r="B103" s="148" t="s">
        <v>2374</v>
      </c>
      <c r="C103" s="148" t="s">
        <v>2688</v>
      </c>
      <c r="D103" s="148" t="s">
        <v>2689</v>
      </c>
      <c r="E103" s="206" t="s">
        <v>2690</v>
      </c>
      <c r="F103" s="148" t="s">
        <v>2691</v>
      </c>
      <c r="G103" s="148" t="s">
        <v>2692</v>
      </c>
      <c r="H103" s="148" t="s">
        <v>2693</v>
      </c>
      <c r="I103" s="148" t="s">
        <v>2694</v>
      </c>
      <c r="J103" s="148" t="s">
        <v>2695</v>
      </c>
      <c r="K103" s="224" t="s">
        <v>2696</v>
      </c>
      <c r="L103" s="230" t="s">
        <v>2697</v>
      </c>
      <c r="M103" s="148" t="s">
        <v>2698</v>
      </c>
    </row>
    <row r="104" spans="1:14" ht="85.5">
      <c r="A104" s="148" t="str">
        <f t="shared" si="7"/>
        <v>DefinitionsC4</v>
      </c>
      <c r="B104" s="148" t="s">
        <v>2374</v>
      </c>
      <c r="C104" s="148" t="s">
        <v>2699</v>
      </c>
      <c r="D104" s="148" t="s">
        <v>2700</v>
      </c>
      <c r="E104" s="206" t="s">
        <v>2701</v>
      </c>
      <c r="F104" s="148" t="s">
        <v>2702</v>
      </c>
      <c r="G104" s="148" t="s">
        <v>2703</v>
      </c>
      <c r="H104" s="148" t="s">
        <v>2704</v>
      </c>
      <c r="I104" s="148" t="s">
        <v>2705</v>
      </c>
      <c r="J104" s="148" t="s">
        <v>2706</v>
      </c>
      <c r="K104" s="224" t="s">
        <v>2707</v>
      </c>
      <c r="L104" s="230" t="s">
        <v>2708</v>
      </c>
      <c r="M104" s="148" t="s">
        <v>2709</v>
      </c>
    </row>
    <row r="105" spans="1:14" ht="82.5" customHeight="1">
      <c r="A105" s="148" t="str">
        <f t="shared" ref="A105" si="8">B105&amp;C105</f>
        <v>DefinitionsC5</v>
      </c>
      <c r="B105" s="148" t="s">
        <v>2374</v>
      </c>
      <c r="C105" s="148" t="s">
        <v>2710</v>
      </c>
      <c r="D105" s="203" t="s">
        <v>2711</v>
      </c>
      <c r="E105" s="206" t="s">
        <v>2712</v>
      </c>
      <c r="F105" s="148" t="s">
        <v>2713</v>
      </c>
      <c r="G105" s="148" t="s">
        <v>2714</v>
      </c>
      <c r="H105" s="148" t="s">
        <v>2715</v>
      </c>
      <c r="I105" s="148" t="s">
        <v>2716</v>
      </c>
      <c r="J105" s="148" t="s">
        <v>2717</v>
      </c>
      <c r="K105" s="224" t="s">
        <v>2718</v>
      </c>
      <c r="L105" s="230" t="s">
        <v>2719</v>
      </c>
      <c r="M105" s="148" t="s">
        <v>2720</v>
      </c>
    </row>
    <row r="106" spans="1:14" ht="191.25">
      <c r="A106" s="148" t="str">
        <f t="shared" ref="A106:A137" si="9">B106&amp;C106</f>
        <v>DefinitionsC6</v>
      </c>
      <c r="B106" s="148" t="s">
        <v>2374</v>
      </c>
      <c r="C106" s="148" t="s">
        <v>2721</v>
      </c>
      <c r="D106" s="106" t="s">
        <v>2722</v>
      </c>
      <c r="E106" s="249" t="s">
        <v>2723</v>
      </c>
      <c r="F106" s="106" t="s">
        <v>2724</v>
      </c>
      <c r="G106" s="106" t="s">
        <v>2725</v>
      </c>
      <c r="H106" s="106" t="s">
        <v>2726</v>
      </c>
      <c r="I106" s="106" t="s">
        <v>2727</v>
      </c>
      <c r="J106" s="106" t="s">
        <v>2728</v>
      </c>
      <c r="K106" s="106" t="s">
        <v>2729</v>
      </c>
      <c r="L106" s="231" t="s">
        <v>2730</v>
      </c>
      <c r="M106" s="106" t="s">
        <v>2731</v>
      </c>
    </row>
    <row r="107" spans="1:14" ht="156.75">
      <c r="A107" s="148" t="str">
        <f t="shared" si="9"/>
        <v>DefinitionsC7</v>
      </c>
      <c r="B107" s="148" t="s">
        <v>2374</v>
      </c>
      <c r="C107" s="148" t="s">
        <v>2732</v>
      </c>
      <c r="D107" s="148" t="s">
        <v>2733</v>
      </c>
      <c r="E107" s="206" t="s">
        <v>2734</v>
      </c>
      <c r="F107" s="148" t="s">
        <v>2735</v>
      </c>
      <c r="G107" s="148" t="s">
        <v>2736</v>
      </c>
      <c r="H107" s="148" t="s">
        <v>2737</v>
      </c>
      <c r="I107" s="148" t="s">
        <v>2738</v>
      </c>
      <c r="J107" s="148" t="s">
        <v>2739</v>
      </c>
      <c r="K107" s="224" t="s">
        <v>2740</v>
      </c>
      <c r="L107" s="230" t="s">
        <v>2741</v>
      </c>
      <c r="M107" s="148" t="s">
        <v>2433</v>
      </c>
    </row>
    <row r="108" spans="1:14" ht="185.25">
      <c r="A108" s="148" t="str">
        <f t="shared" si="9"/>
        <v>DefinitionsC8</v>
      </c>
      <c r="B108" s="148" t="s">
        <v>2374</v>
      </c>
      <c r="C108" s="148" t="s">
        <v>2742</v>
      </c>
      <c r="D108" s="148" t="s">
        <v>2743</v>
      </c>
      <c r="E108" s="206" t="s">
        <v>2744</v>
      </c>
      <c r="F108" s="148" t="s">
        <v>2745</v>
      </c>
      <c r="G108" s="148" t="s">
        <v>2746</v>
      </c>
      <c r="H108" s="136" t="s">
        <v>2747</v>
      </c>
      <c r="I108" s="148" t="s">
        <v>2748</v>
      </c>
      <c r="J108" s="148" t="s">
        <v>2749</v>
      </c>
      <c r="K108" s="224" t="s">
        <v>2750</v>
      </c>
      <c r="L108" s="230" t="s">
        <v>2751</v>
      </c>
      <c r="M108" s="148" t="s">
        <v>2445</v>
      </c>
    </row>
    <row r="109" spans="1:14" ht="85.5">
      <c r="A109" s="148" t="str">
        <f t="shared" si="9"/>
        <v>DefinitionsC9</v>
      </c>
      <c r="B109" s="148" t="s">
        <v>2374</v>
      </c>
      <c r="C109" s="148" t="s">
        <v>2752</v>
      </c>
      <c r="D109" s="148" t="s">
        <v>2753</v>
      </c>
      <c r="E109" s="206" t="s">
        <v>2754</v>
      </c>
      <c r="F109" s="148" t="s">
        <v>2755</v>
      </c>
      <c r="G109" s="148" t="s">
        <v>2756</v>
      </c>
      <c r="H109" s="148" t="s">
        <v>2757</v>
      </c>
      <c r="I109" s="148" t="s">
        <v>2758</v>
      </c>
      <c r="J109" s="148" t="s">
        <v>2759</v>
      </c>
      <c r="K109" s="224" t="s">
        <v>2760</v>
      </c>
      <c r="L109" s="230" t="s">
        <v>2761</v>
      </c>
      <c r="M109" s="148" t="s">
        <v>2450</v>
      </c>
    </row>
    <row r="110" spans="1:14">
      <c r="A110" s="148" t="str">
        <f t="shared" si="9"/>
        <v>DefinitionsC10</v>
      </c>
      <c r="B110" s="148" t="s">
        <v>2374</v>
      </c>
      <c r="C110" s="148" t="s">
        <v>2762</v>
      </c>
      <c r="D110" s="148" t="s">
        <v>2763</v>
      </c>
      <c r="E110" s="206" t="s">
        <v>2453</v>
      </c>
      <c r="F110" s="148" t="s">
        <v>2764</v>
      </c>
      <c r="G110" s="148" t="s">
        <v>2765</v>
      </c>
      <c r="H110" s="148" t="s">
        <v>2766</v>
      </c>
      <c r="I110" s="148" t="s">
        <v>2767</v>
      </c>
      <c r="J110" s="148" t="s">
        <v>2768</v>
      </c>
      <c r="K110" s="224" t="s">
        <v>2769</v>
      </c>
      <c r="L110" s="230" t="s">
        <v>2770</v>
      </c>
      <c r="M110" s="148" t="s">
        <v>2459</v>
      </c>
    </row>
    <row r="111" spans="1:14" ht="156.75">
      <c r="A111" s="148" t="str">
        <f t="shared" si="9"/>
        <v>DefinitionsC11</v>
      </c>
      <c r="B111" s="148" t="s">
        <v>2374</v>
      </c>
      <c r="C111" s="148" t="s">
        <v>2771</v>
      </c>
      <c r="D111" s="148" t="s">
        <v>2772</v>
      </c>
      <c r="E111" s="250" t="s">
        <v>2773</v>
      </c>
      <c r="F111" s="148" t="s">
        <v>2774</v>
      </c>
      <c r="G111" s="148" t="s">
        <v>2775</v>
      </c>
      <c r="H111" s="148" t="s">
        <v>2776</v>
      </c>
      <c r="I111" s="148" t="s">
        <v>2777</v>
      </c>
      <c r="J111" s="148" t="s">
        <v>2778</v>
      </c>
      <c r="K111" s="224" t="s">
        <v>2779</v>
      </c>
      <c r="L111" s="230" t="s">
        <v>2780</v>
      </c>
      <c r="M111" s="148" t="s">
        <v>2471</v>
      </c>
    </row>
    <row r="112" spans="1:14" ht="128.25">
      <c r="A112" s="148" t="str">
        <f t="shared" si="9"/>
        <v>DefinitionsC12</v>
      </c>
      <c r="B112" s="148" t="s">
        <v>2374</v>
      </c>
      <c r="C112" s="148" t="s">
        <v>2781</v>
      </c>
      <c r="D112" s="148" t="s">
        <v>2782</v>
      </c>
      <c r="E112" s="250" t="s">
        <v>2783</v>
      </c>
      <c r="F112" s="148" t="s">
        <v>2784</v>
      </c>
      <c r="G112" s="148" t="s">
        <v>2785</v>
      </c>
      <c r="H112" s="148" t="s">
        <v>2786</v>
      </c>
      <c r="I112" s="148" t="s">
        <v>2787</v>
      </c>
      <c r="J112" s="148" t="s">
        <v>2788</v>
      </c>
      <c r="K112" s="224" t="s">
        <v>2789</v>
      </c>
      <c r="L112" s="230" t="s">
        <v>2790</v>
      </c>
      <c r="M112" s="148" t="s">
        <v>2483</v>
      </c>
    </row>
    <row r="113" spans="1:13" ht="156.75">
      <c r="A113" s="148" t="str">
        <f t="shared" si="9"/>
        <v>DefinitionsC13</v>
      </c>
      <c r="B113" s="148" t="s">
        <v>2374</v>
      </c>
      <c r="C113" s="148" t="s">
        <v>2791</v>
      </c>
      <c r="D113" s="148" t="s">
        <v>2792</v>
      </c>
      <c r="E113" s="250" t="s">
        <v>2793</v>
      </c>
      <c r="F113" s="148" t="s">
        <v>2794</v>
      </c>
      <c r="G113" s="148" t="s">
        <v>2795</v>
      </c>
      <c r="H113" s="136" t="s">
        <v>2796</v>
      </c>
      <c r="I113" s="148" t="s">
        <v>2797</v>
      </c>
      <c r="J113" s="148" t="s">
        <v>2798</v>
      </c>
      <c r="K113" s="224" t="s">
        <v>2799</v>
      </c>
      <c r="L113" s="230" t="s">
        <v>2800</v>
      </c>
      <c r="M113" s="148" t="s">
        <v>2495</v>
      </c>
    </row>
    <row r="114" spans="1:13" ht="409.5">
      <c r="A114" s="148" t="str">
        <f t="shared" si="9"/>
        <v>DefinitionsC14</v>
      </c>
      <c r="B114" s="148" t="s">
        <v>2374</v>
      </c>
      <c r="C114" s="148" t="s">
        <v>2801</v>
      </c>
      <c r="D114" s="148" t="s">
        <v>2802</v>
      </c>
      <c r="E114" s="250" t="s">
        <v>2803</v>
      </c>
      <c r="F114" s="148" t="s">
        <v>2804</v>
      </c>
      <c r="G114" s="148" t="s">
        <v>2805</v>
      </c>
      <c r="H114" s="148" t="s">
        <v>2806</v>
      </c>
      <c r="I114" s="148" t="s">
        <v>2807</v>
      </c>
      <c r="J114" s="148" t="s">
        <v>2808</v>
      </c>
      <c r="K114" s="224" t="s">
        <v>2809</v>
      </c>
      <c r="L114" s="230" t="s">
        <v>2810</v>
      </c>
      <c r="M114" s="148" t="s">
        <v>2811</v>
      </c>
    </row>
    <row r="115" spans="1:13" ht="270.75">
      <c r="A115" s="148" t="str">
        <f t="shared" si="9"/>
        <v>DefinitionsC15</v>
      </c>
      <c r="B115" s="148" t="s">
        <v>2374</v>
      </c>
      <c r="C115" s="148" t="s">
        <v>2812</v>
      </c>
      <c r="D115" s="148" t="s">
        <v>2813</v>
      </c>
      <c r="E115" s="250" t="s">
        <v>2814</v>
      </c>
      <c r="F115" s="148" t="s">
        <v>2815</v>
      </c>
      <c r="G115" s="148" t="s">
        <v>2816</v>
      </c>
      <c r="H115" s="148" t="s">
        <v>2817</v>
      </c>
      <c r="I115" s="148" t="s">
        <v>2818</v>
      </c>
      <c r="J115" s="148" t="s">
        <v>2819</v>
      </c>
      <c r="K115" s="224" t="s">
        <v>2820</v>
      </c>
      <c r="L115" s="230" t="s">
        <v>2821</v>
      </c>
      <c r="M115" s="148" t="s">
        <v>2510</v>
      </c>
    </row>
    <row r="116" spans="1:13" ht="142.5">
      <c r="A116" s="148" t="str">
        <f t="shared" si="9"/>
        <v>DefinitionsC16</v>
      </c>
      <c r="B116" s="148" t="s">
        <v>2374</v>
      </c>
      <c r="C116" s="148" t="s">
        <v>2822</v>
      </c>
      <c r="D116" s="148" t="s">
        <v>2823</v>
      </c>
      <c r="E116" s="206" t="s">
        <v>2824</v>
      </c>
      <c r="F116" s="148" t="s">
        <v>2825</v>
      </c>
      <c r="G116" s="148" t="s">
        <v>2826</v>
      </c>
      <c r="H116" s="148" t="s">
        <v>2827</v>
      </c>
      <c r="I116" s="148" t="s">
        <v>2828</v>
      </c>
      <c r="J116" s="148" t="s">
        <v>2829</v>
      </c>
      <c r="K116" s="224" t="s">
        <v>2830</v>
      </c>
      <c r="L116" s="230" t="s">
        <v>2831</v>
      </c>
      <c r="M116" s="148" t="s">
        <v>2522</v>
      </c>
    </row>
    <row r="117" spans="1:13" ht="370.5">
      <c r="A117" s="148" t="str">
        <f t="shared" si="9"/>
        <v>DefinitionsC17</v>
      </c>
      <c r="B117" s="148" t="s">
        <v>2374</v>
      </c>
      <c r="C117" s="148" t="s">
        <v>2832</v>
      </c>
      <c r="D117" s="148" t="s">
        <v>2833</v>
      </c>
      <c r="E117" s="250" t="s">
        <v>2834</v>
      </c>
      <c r="F117" s="148" t="s">
        <v>2835</v>
      </c>
      <c r="G117" s="148" t="s">
        <v>2836</v>
      </c>
      <c r="H117" s="148" t="s">
        <v>2837</v>
      </c>
      <c r="I117" s="148" t="s">
        <v>2838</v>
      </c>
      <c r="J117" s="148" t="s">
        <v>2839</v>
      </c>
      <c r="K117" s="224" t="s">
        <v>2840</v>
      </c>
      <c r="L117" s="230" t="s">
        <v>2841</v>
      </c>
      <c r="M117" s="148" t="s">
        <v>2842</v>
      </c>
    </row>
    <row r="118" spans="1:13" ht="242.25">
      <c r="A118" s="148" t="str">
        <f t="shared" si="9"/>
        <v>DefinitionsC18</v>
      </c>
      <c r="B118" s="148" t="s">
        <v>2374</v>
      </c>
      <c r="C118" s="148" t="s">
        <v>2843</v>
      </c>
      <c r="D118" s="148" t="s">
        <v>2844</v>
      </c>
      <c r="E118" s="250" t="s">
        <v>2845</v>
      </c>
      <c r="F118" s="148" t="s">
        <v>2846</v>
      </c>
      <c r="G118" s="148" t="s">
        <v>2847</v>
      </c>
      <c r="H118" s="136" t="s">
        <v>2848</v>
      </c>
      <c r="I118" s="148" t="s">
        <v>2849</v>
      </c>
      <c r="J118" s="148" t="s">
        <v>2850</v>
      </c>
      <c r="K118" s="224" t="s">
        <v>2851</v>
      </c>
      <c r="L118" s="230" t="s">
        <v>2852</v>
      </c>
      <c r="M118" s="148" t="s">
        <v>2853</v>
      </c>
    </row>
    <row r="119" spans="1:13" ht="28.5">
      <c r="A119" s="148" t="str">
        <f t="shared" si="9"/>
        <v>DefinitionsC19</v>
      </c>
      <c r="B119" s="148" t="s">
        <v>2374</v>
      </c>
      <c r="C119" s="148" t="s">
        <v>2854</v>
      </c>
      <c r="D119" s="148" t="s">
        <v>2855</v>
      </c>
      <c r="E119" s="206" t="s">
        <v>2856</v>
      </c>
      <c r="F119" s="148" t="s">
        <v>2857</v>
      </c>
      <c r="G119" s="148" t="s">
        <v>2858</v>
      </c>
      <c r="H119" s="148" t="s">
        <v>2859</v>
      </c>
      <c r="I119" s="148" t="s">
        <v>2860</v>
      </c>
      <c r="J119" s="148" t="s">
        <v>2861</v>
      </c>
      <c r="K119" s="224" t="s">
        <v>2862</v>
      </c>
      <c r="L119" s="230" t="s">
        <v>2863</v>
      </c>
      <c r="M119" s="148" t="s">
        <v>2552</v>
      </c>
    </row>
    <row r="120" spans="1:13" ht="71.25">
      <c r="A120" s="148" t="str">
        <f t="shared" si="9"/>
        <v>DefinitionsC20</v>
      </c>
      <c r="B120" s="148" t="s">
        <v>2374</v>
      </c>
      <c r="C120" s="148" t="s">
        <v>2864</v>
      </c>
      <c r="D120" s="148" t="s">
        <v>2865</v>
      </c>
      <c r="E120" s="206" t="s">
        <v>2866</v>
      </c>
      <c r="F120" s="148" t="s">
        <v>2867</v>
      </c>
      <c r="G120" s="148" t="s">
        <v>2868</v>
      </c>
      <c r="H120" s="148" t="s">
        <v>2869</v>
      </c>
      <c r="I120" s="148" t="s">
        <v>2870</v>
      </c>
      <c r="J120" s="148" t="s">
        <v>2871</v>
      </c>
      <c r="K120" s="224" t="s">
        <v>2872</v>
      </c>
      <c r="L120" s="230" t="s">
        <v>2873</v>
      </c>
      <c r="M120" s="148" t="s">
        <v>2564</v>
      </c>
    </row>
    <row r="121" spans="1:13" ht="28.5">
      <c r="A121" s="148" t="str">
        <f t="shared" si="9"/>
        <v>DefinitionsC21</v>
      </c>
      <c r="B121" s="148" t="s">
        <v>2374</v>
      </c>
      <c r="C121" s="148" t="s">
        <v>2874</v>
      </c>
      <c r="D121" s="148" t="s">
        <v>2568</v>
      </c>
      <c r="E121" s="206" t="s">
        <v>2875</v>
      </c>
      <c r="F121" s="148" t="s">
        <v>2876</v>
      </c>
      <c r="G121" s="148" t="s">
        <v>2877</v>
      </c>
      <c r="H121" s="148" t="s">
        <v>2568</v>
      </c>
      <c r="I121" s="148" t="s">
        <v>2568</v>
      </c>
      <c r="J121" s="148" t="s">
        <v>2568</v>
      </c>
      <c r="K121" s="224" t="s">
        <v>2568</v>
      </c>
      <c r="L121" s="230" t="s">
        <v>2568</v>
      </c>
      <c r="M121" s="148" t="s">
        <v>2568</v>
      </c>
    </row>
    <row r="122" spans="1:13" ht="171">
      <c r="A122" s="148" t="str">
        <f t="shared" si="9"/>
        <v>DefinitionsC22</v>
      </c>
      <c r="B122" s="148" t="s">
        <v>2374</v>
      </c>
      <c r="C122" s="148" t="s">
        <v>2878</v>
      </c>
      <c r="D122" s="148" t="s">
        <v>2879</v>
      </c>
      <c r="E122" s="250" t="s">
        <v>2880</v>
      </c>
      <c r="F122" s="148" t="s">
        <v>2881</v>
      </c>
      <c r="G122" s="148" t="s">
        <v>2882</v>
      </c>
      <c r="H122" s="148" t="s">
        <v>2883</v>
      </c>
      <c r="I122" s="148" t="s">
        <v>2884</v>
      </c>
      <c r="J122" s="148" t="s">
        <v>2885</v>
      </c>
      <c r="K122" s="224" t="s">
        <v>2886</v>
      </c>
      <c r="L122" s="230" t="s">
        <v>2887</v>
      </c>
      <c r="M122" s="148" t="s">
        <v>2888</v>
      </c>
    </row>
    <row r="123" spans="1:13" ht="114">
      <c r="A123" s="148" t="str">
        <f t="shared" si="9"/>
        <v>DefinitionsC23</v>
      </c>
      <c r="B123" s="148" t="s">
        <v>2374</v>
      </c>
      <c r="C123" s="148" t="s">
        <v>2889</v>
      </c>
      <c r="D123" s="148" t="s">
        <v>2890</v>
      </c>
      <c r="E123" s="206" t="s">
        <v>2891</v>
      </c>
      <c r="F123" s="148" t="s">
        <v>2892</v>
      </c>
      <c r="G123" s="148" t="s">
        <v>2893</v>
      </c>
      <c r="H123" s="148" t="s">
        <v>2894</v>
      </c>
      <c r="I123" s="148" t="s">
        <v>2895</v>
      </c>
      <c r="J123" s="148" t="s">
        <v>2896</v>
      </c>
      <c r="K123" s="224" t="s">
        <v>2897</v>
      </c>
      <c r="L123" s="230" t="s">
        <v>2898</v>
      </c>
      <c r="M123" s="148" t="s">
        <v>2899</v>
      </c>
    </row>
    <row r="124" spans="1:13" ht="313.5">
      <c r="A124" s="148" t="str">
        <f t="shared" si="9"/>
        <v>DefinitionsC24</v>
      </c>
      <c r="B124" s="148" t="s">
        <v>2374</v>
      </c>
      <c r="C124" s="148" t="s">
        <v>2900</v>
      </c>
      <c r="D124" s="148" t="s">
        <v>2901</v>
      </c>
      <c r="E124" s="250" t="s">
        <v>2902</v>
      </c>
      <c r="F124" s="148" t="s">
        <v>2903</v>
      </c>
      <c r="G124" s="148" t="s">
        <v>2904</v>
      </c>
      <c r="H124" s="148" t="s">
        <v>2905</v>
      </c>
      <c r="I124" s="148" t="s">
        <v>2906</v>
      </c>
      <c r="J124" s="148" t="s">
        <v>2907</v>
      </c>
      <c r="K124" s="224" t="s">
        <v>2908</v>
      </c>
      <c r="L124" s="230" t="s">
        <v>2909</v>
      </c>
      <c r="M124" s="148" t="s">
        <v>2910</v>
      </c>
    </row>
    <row r="125" spans="1:13" ht="285">
      <c r="A125" s="148" t="str">
        <f t="shared" si="9"/>
        <v>DefinitionsC25</v>
      </c>
      <c r="B125" s="148" t="s">
        <v>2374</v>
      </c>
      <c r="C125" s="148" t="s">
        <v>2911</v>
      </c>
      <c r="D125" s="148" t="s">
        <v>2912</v>
      </c>
      <c r="E125" s="250" t="s">
        <v>2913</v>
      </c>
      <c r="F125" s="148" t="s">
        <v>2914</v>
      </c>
      <c r="G125" s="148" t="s">
        <v>2915</v>
      </c>
      <c r="H125" s="148" t="s">
        <v>2916</v>
      </c>
      <c r="I125" s="148" t="s">
        <v>2917</v>
      </c>
      <c r="J125" s="148" t="s">
        <v>2918</v>
      </c>
      <c r="K125" s="224" t="s">
        <v>2919</v>
      </c>
      <c r="L125" s="230" t="s">
        <v>2920</v>
      </c>
      <c r="M125" s="148" t="s">
        <v>2921</v>
      </c>
    </row>
    <row r="126" spans="1:13" ht="28.5">
      <c r="A126" s="148" t="str">
        <f t="shared" si="9"/>
        <v>DefinitionsC26</v>
      </c>
      <c r="B126" s="148" t="s">
        <v>2374</v>
      </c>
      <c r="C126" s="148" t="s">
        <v>2922</v>
      </c>
      <c r="D126" s="148" t="s">
        <v>2923</v>
      </c>
      <c r="E126" s="206" t="s">
        <v>2924</v>
      </c>
      <c r="F126" s="148" t="s">
        <v>2925</v>
      </c>
      <c r="G126" s="148" t="s">
        <v>2926</v>
      </c>
      <c r="H126" s="148" t="s">
        <v>2923</v>
      </c>
      <c r="I126" s="148" t="s">
        <v>2927</v>
      </c>
      <c r="J126" s="148" t="s">
        <v>2923</v>
      </c>
      <c r="K126" s="224" t="s">
        <v>2923</v>
      </c>
      <c r="L126" s="230" t="s">
        <v>2923</v>
      </c>
      <c r="M126" s="148" t="s">
        <v>2580</v>
      </c>
    </row>
    <row r="127" spans="1:13" ht="156.75">
      <c r="A127" s="148" t="str">
        <f t="shared" si="9"/>
        <v>DefinitionsC27</v>
      </c>
      <c r="B127" s="148" t="s">
        <v>2374</v>
      </c>
      <c r="C127" s="148" t="s">
        <v>2928</v>
      </c>
      <c r="D127" s="148" t="s">
        <v>2929</v>
      </c>
      <c r="E127" s="250" t="s">
        <v>2930</v>
      </c>
      <c r="F127" s="148" t="s">
        <v>2931</v>
      </c>
      <c r="G127" s="148" t="s">
        <v>2932</v>
      </c>
      <c r="H127" s="148" t="s">
        <v>2933</v>
      </c>
      <c r="I127" s="148" t="s">
        <v>2934</v>
      </c>
      <c r="J127" s="148" t="s">
        <v>2935</v>
      </c>
      <c r="K127" s="224" t="s">
        <v>2936</v>
      </c>
      <c r="L127" s="230" t="s">
        <v>2937</v>
      </c>
      <c r="M127" s="148" t="s">
        <v>2618</v>
      </c>
    </row>
    <row r="128" spans="1:13" ht="99.75">
      <c r="A128" s="148" t="str">
        <f t="shared" si="9"/>
        <v>DefinitionsC28</v>
      </c>
      <c r="B128" s="148" t="s">
        <v>2374</v>
      </c>
      <c r="C128" s="148" t="s">
        <v>2938</v>
      </c>
      <c r="D128" s="148" t="s">
        <v>2939</v>
      </c>
      <c r="E128" s="206" t="s">
        <v>2940</v>
      </c>
      <c r="F128" s="148" t="s">
        <v>2941</v>
      </c>
      <c r="G128" s="148" t="s">
        <v>2942</v>
      </c>
      <c r="H128" s="148" t="s">
        <v>2943</v>
      </c>
      <c r="I128" s="148" t="s">
        <v>2944</v>
      </c>
      <c r="J128" s="148" t="s">
        <v>2945</v>
      </c>
      <c r="K128" s="224" t="s">
        <v>2946</v>
      </c>
      <c r="L128" s="230" t="s">
        <v>2947</v>
      </c>
      <c r="M128" s="148" t="s">
        <v>2948</v>
      </c>
    </row>
    <row r="129" spans="1:13" ht="228">
      <c r="A129" s="148" t="str">
        <f t="shared" si="9"/>
        <v>DefinitionsC29</v>
      </c>
      <c r="B129" s="148" t="s">
        <v>2374</v>
      </c>
      <c r="C129" s="148" t="s">
        <v>2949</v>
      </c>
      <c r="D129" s="148" t="s">
        <v>2950</v>
      </c>
      <c r="E129" s="250" t="s">
        <v>2951</v>
      </c>
      <c r="F129" s="148" t="s">
        <v>2952</v>
      </c>
      <c r="G129" s="148" t="s">
        <v>2953</v>
      </c>
      <c r="H129" s="148" t="s">
        <v>2954</v>
      </c>
      <c r="I129" s="148" t="s">
        <v>2955</v>
      </c>
      <c r="J129" s="148" t="s">
        <v>2956</v>
      </c>
      <c r="K129" s="224" t="s">
        <v>2957</v>
      </c>
      <c r="L129" s="230" t="s">
        <v>2958</v>
      </c>
      <c r="M129" s="148" t="s">
        <v>2642</v>
      </c>
    </row>
    <row r="130" spans="1:13" ht="213.75">
      <c r="A130" s="148" t="str">
        <f t="shared" si="9"/>
        <v>DefinitionsC30</v>
      </c>
      <c r="B130" s="148" t="s">
        <v>2374</v>
      </c>
      <c r="C130" s="148" t="s">
        <v>2959</v>
      </c>
      <c r="D130" s="148" t="s">
        <v>2960</v>
      </c>
      <c r="E130" s="250" t="s">
        <v>2961</v>
      </c>
      <c r="F130" s="148" t="s">
        <v>2962</v>
      </c>
      <c r="G130" s="148" t="s">
        <v>2963</v>
      </c>
      <c r="H130" s="136" t="s">
        <v>2964</v>
      </c>
      <c r="I130" s="148" t="s">
        <v>2965</v>
      </c>
      <c r="J130" s="148" t="s">
        <v>2966</v>
      </c>
      <c r="K130" s="224" t="s">
        <v>2967</v>
      </c>
      <c r="L130" s="230" t="s">
        <v>2968</v>
      </c>
      <c r="M130" s="148" t="s">
        <v>2654</v>
      </c>
    </row>
    <row r="131" spans="1:13" ht="202.5">
      <c r="A131" s="148" t="str">
        <f t="shared" si="9"/>
        <v>DefinitionsC31</v>
      </c>
      <c r="B131" s="148" t="s">
        <v>2374</v>
      </c>
      <c r="C131" s="148" t="s">
        <v>2969</v>
      </c>
      <c r="D131" s="148" t="s">
        <v>2970</v>
      </c>
      <c r="E131" s="250" t="s">
        <v>2971</v>
      </c>
      <c r="F131" s="148" t="s">
        <v>2972</v>
      </c>
      <c r="G131" s="148" t="s">
        <v>2973</v>
      </c>
      <c r="H131" s="136" t="s">
        <v>2974</v>
      </c>
      <c r="I131" s="148" t="s">
        <v>2975</v>
      </c>
      <c r="J131" s="148" t="s">
        <v>2976</v>
      </c>
      <c r="K131" s="224" t="s">
        <v>2977</v>
      </c>
      <c r="L131" s="230" t="s">
        <v>2978</v>
      </c>
      <c r="M131" s="148" t="s">
        <v>2666</v>
      </c>
    </row>
    <row r="132" spans="1:13">
      <c r="A132" s="148" t="str">
        <f t="shared" si="9"/>
        <v>DeclarationD2</v>
      </c>
      <c r="B132" s="148" t="s">
        <v>2979</v>
      </c>
      <c r="C132" s="148" t="s">
        <v>2980</v>
      </c>
      <c r="D132" s="148" t="s">
        <v>2981</v>
      </c>
      <c r="E132" s="206" t="s">
        <v>2981</v>
      </c>
      <c r="F132" s="148" t="s">
        <v>2981</v>
      </c>
      <c r="G132" s="148" t="s">
        <v>2981</v>
      </c>
      <c r="H132" s="148" t="s">
        <v>2981</v>
      </c>
      <c r="I132" s="148" t="s">
        <v>2981</v>
      </c>
      <c r="J132" s="148" t="s">
        <v>2981</v>
      </c>
      <c r="K132" s="148" t="s">
        <v>2981</v>
      </c>
      <c r="L132" s="230" t="s">
        <v>2981</v>
      </c>
      <c r="M132" s="166" t="s">
        <v>2981</v>
      </c>
    </row>
    <row r="133" spans="1:13" ht="28.5">
      <c r="A133" s="148" t="str">
        <f t="shared" si="9"/>
        <v>DeclarationF3</v>
      </c>
      <c r="B133" s="148" t="s">
        <v>2979</v>
      </c>
      <c r="C133" s="148" t="s">
        <v>2982</v>
      </c>
      <c r="D133" s="148" t="s">
        <v>2983</v>
      </c>
      <c r="E133" s="206" t="s">
        <v>2984</v>
      </c>
      <c r="F133" s="148" t="s">
        <v>2985</v>
      </c>
      <c r="G133" s="148" t="s">
        <v>2986</v>
      </c>
      <c r="H133" s="148" t="s">
        <v>2987</v>
      </c>
      <c r="I133" s="148" t="s">
        <v>2988</v>
      </c>
      <c r="J133" s="148" t="s">
        <v>2989</v>
      </c>
      <c r="K133" s="148" t="s">
        <v>2990</v>
      </c>
      <c r="L133" s="235" t="s">
        <v>2991</v>
      </c>
      <c r="M133" s="148" t="s">
        <v>2992</v>
      </c>
    </row>
    <row r="134" spans="1:13" ht="28.5">
      <c r="A134" s="148" t="str">
        <f t="shared" si="9"/>
        <v>DeclarationI3</v>
      </c>
      <c r="B134" s="148" t="s">
        <v>2979</v>
      </c>
      <c r="C134" s="148" t="s">
        <v>2993</v>
      </c>
      <c r="D134" s="148" t="s">
        <v>2994</v>
      </c>
      <c r="E134" s="206" t="s">
        <v>2995</v>
      </c>
      <c r="F134" s="148" t="s">
        <v>2996</v>
      </c>
      <c r="G134" s="148" t="s">
        <v>2997</v>
      </c>
      <c r="H134" s="148" t="s">
        <v>2998</v>
      </c>
      <c r="I134" s="148" t="s">
        <v>2999</v>
      </c>
      <c r="J134" s="148" t="s">
        <v>3000</v>
      </c>
      <c r="K134" s="148" t="s">
        <v>3001</v>
      </c>
      <c r="L134" s="235" t="s">
        <v>3002</v>
      </c>
      <c r="M134" s="148" t="s">
        <v>3003</v>
      </c>
    </row>
    <row r="135" spans="1:13">
      <c r="A135" s="148" t="str">
        <f t="shared" si="9"/>
        <v>DeclarationI4</v>
      </c>
      <c r="B135" s="148" t="s">
        <v>2979</v>
      </c>
      <c r="C135" s="148" t="s">
        <v>3004</v>
      </c>
      <c r="D135" s="148" t="s">
        <v>3005</v>
      </c>
      <c r="F135" s="148" t="s">
        <v>3006</v>
      </c>
      <c r="G135" s="148" t="s">
        <v>3007</v>
      </c>
      <c r="H135" s="148" t="s">
        <v>3008</v>
      </c>
      <c r="I135" s="148" t="s">
        <v>3009</v>
      </c>
      <c r="J135" s="148" t="s">
        <v>3010</v>
      </c>
      <c r="K135" s="148" t="s">
        <v>3011</v>
      </c>
      <c r="L135" s="235" t="s">
        <v>3012</v>
      </c>
      <c r="M135" s="148" t="s">
        <v>3013</v>
      </c>
    </row>
    <row r="136" spans="1:13" ht="57">
      <c r="A136" s="148" t="str">
        <f t="shared" si="9"/>
        <v>DeclarationB4</v>
      </c>
      <c r="B136" s="148" t="s">
        <v>2979</v>
      </c>
      <c r="C136" s="148" t="s">
        <v>2388</v>
      </c>
      <c r="D136" s="148" t="s">
        <v>3014</v>
      </c>
      <c r="E136" s="250" t="s">
        <v>3015</v>
      </c>
      <c r="F136" s="148" t="s">
        <v>3016</v>
      </c>
      <c r="G136" s="148" t="s">
        <v>3017</v>
      </c>
      <c r="H136" s="148" t="s">
        <v>3018</v>
      </c>
      <c r="I136" s="148" t="s">
        <v>3019</v>
      </c>
      <c r="J136" s="148" t="s">
        <v>3020</v>
      </c>
      <c r="K136" s="224" t="s">
        <v>3021</v>
      </c>
      <c r="L136" s="230" t="s">
        <v>3022</v>
      </c>
      <c r="M136" s="148" t="s">
        <v>3023</v>
      </c>
    </row>
    <row r="137" spans="1:13" ht="60">
      <c r="A137" s="148" t="str">
        <f t="shared" si="9"/>
        <v>DeclarationB6</v>
      </c>
      <c r="B137" s="148" t="s">
        <v>2979</v>
      </c>
      <c r="C137" s="148" t="s">
        <v>2410</v>
      </c>
      <c r="D137" s="148" t="s">
        <v>3024</v>
      </c>
      <c r="E137" s="148" t="s">
        <v>3025</v>
      </c>
      <c r="F137" s="256" t="s">
        <v>3026</v>
      </c>
      <c r="G137" s="232" t="s">
        <v>3027</v>
      </c>
      <c r="H137" s="226" t="s">
        <v>3028</v>
      </c>
      <c r="I137" s="232" t="s">
        <v>3029</v>
      </c>
      <c r="J137" s="232" t="s">
        <v>3030</v>
      </c>
      <c r="K137" s="233" t="s">
        <v>3031</v>
      </c>
      <c r="L137" s="226" t="s">
        <v>3032</v>
      </c>
      <c r="M137" s="232" t="s">
        <v>3033</v>
      </c>
    </row>
    <row r="138" spans="1:13" ht="57">
      <c r="A138" s="148" t="str">
        <f t="shared" ref="A138:A168" si="10">B138&amp;C138</f>
        <v>DeclarationB7</v>
      </c>
      <c r="B138" s="148" t="s">
        <v>2979</v>
      </c>
      <c r="C138" s="148" t="s">
        <v>2422</v>
      </c>
      <c r="D138" s="148" t="s">
        <v>3034</v>
      </c>
      <c r="E138" s="250" t="s">
        <v>3035</v>
      </c>
      <c r="F138" s="148" t="s">
        <v>3036</v>
      </c>
      <c r="G138" s="148" t="s">
        <v>3037</v>
      </c>
      <c r="H138" s="148" t="s">
        <v>3038</v>
      </c>
      <c r="I138" s="148" t="s">
        <v>3039</v>
      </c>
      <c r="J138" s="148" t="s">
        <v>3040</v>
      </c>
      <c r="K138" s="224" t="s">
        <v>3041</v>
      </c>
      <c r="L138" s="230" t="s">
        <v>3042</v>
      </c>
      <c r="M138" s="148" t="s">
        <v>3043</v>
      </c>
    </row>
    <row r="139" spans="1:13">
      <c r="A139" s="148" t="str">
        <f t="shared" si="10"/>
        <v>DeclarationB8</v>
      </c>
      <c r="B139" s="148" t="s">
        <v>2979</v>
      </c>
      <c r="C139" s="148" t="s">
        <v>2434</v>
      </c>
      <c r="D139" s="148" t="s">
        <v>3044</v>
      </c>
      <c r="E139" s="206" t="s">
        <v>3045</v>
      </c>
      <c r="F139" s="148" t="s">
        <v>3046</v>
      </c>
      <c r="G139" s="148" t="s">
        <v>3047</v>
      </c>
      <c r="H139" s="148" t="s">
        <v>3048</v>
      </c>
      <c r="I139" s="148" t="s">
        <v>3049</v>
      </c>
      <c r="J139" s="148" t="s">
        <v>3050</v>
      </c>
      <c r="K139" s="224" t="s">
        <v>3051</v>
      </c>
      <c r="L139" s="230" t="s">
        <v>3052</v>
      </c>
      <c r="M139" s="148" t="s">
        <v>3053</v>
      </c>
    </row>
    <row r="140" spans="1:13">
      <c r="A140" s="148" t="str">
        <f t="shared" si="10"/>
        <v>DeclarationB9</v>
      </c>
      <c r="B140" s="148" t="s">
        <v>2979</v>
      </c>
      <c r="C140" s="148" t="s">
        <v>2446</v>
      </c>
      <c r="D140" s="148" t="s">
        <v>3054</v>
      </c>
      <c r="E140" s="206" t="s">
        <v>3055</v>
      </c>
      <c r="F140" s="148" t="s">
        <v>3056</v>
      </c>
      <c r="G140" s="148" t="s">
        <v>3057</v>
      </c>
      <c r="H140" s="148" t="s">
        <v>3058</v>
      </c>
      <c r="I140" s="148" t="s">
        <v>3059</v>
      </c>
      <c r="J140" s="148" t="s">
        <v>3060</v>
      </c>
      <c r="K140" s="224" t="s">
        <v>3061</v>
      </c>
      <c r="L140" s="230" t="s">
        <v>3062</v>
      </c>
      <c r="M140" s="148" t="s">
        <v>3063</v>
      </c>
    </row>
    <row r="141" spans="1:13" ht="28.5">
      <c r="A141" s="148" t="str">
        <f t="shared" si="10"/>
        <v>DeclarationB10</v>
      </c>
      <c r="B141" s="148" t="s">
        <v>2979</v>
      </c>
      <c r="C141" s="148" t="s">
        <v>2451</v>
      </c>
      <c r="D141" s="148" t="s">
        <v>3064</v>
      </c>
      <c r="E141" s="206" t="s">
        <v>3065</v>
      </c>
      <c r="F141" s="148" t="s">
        <v>3066</v>
      </c>
      <c r="G141" s="148" t="s">
        <v>3067</v>
      </c>
      <c r="H141" s="148" t="s">
        <v>3068</v>
      </c>
      <c r="I141" s="148" t="s">
        <v>3069</v>
      </c>
      <c r="J141" s="148" t="s">
        <v>3070</v>
      </c>
      <c r="K141" s="224" t="s">
        <v>3071</v>
      </c>
      <c r="L141" s="230" t="s">
        <v>3072</v>
      </c>
      <c r="M141" s="148" t="s">
        <v>3073</v>
      </c>
    </row>
    <row r="142" spans="1:13" ht="28.5">
      <c r="A142" s="148" t="str">
        <f t="shared" si="10"/>
        <v>DeclarationB10A</v>
      </c>
      <c r="B142" s="148" t="s">
        <v>2979</v>
      </c>
      <c r="C142" s="148" t="s">
        <v>3074</v>
      </c>
      <c r="D142" s="148" t="s">
        <v>3064</v>
      </c>
      <c r="E142" s="206" t="s">
        <v>3065</v>
      </c>
      <c r="F142" s="148" t="s">
        <v>3066</v>
      </c>
      <c r="G142" s="148" t="s">
        <v>3067</v>
      </c>
      <c r="H142" s="148" t="s">
        <v>3068</v>
      </c>
      <c r="I142" s="148" t="s">
        <v>3069</v>
      </c>
      <c r="J142" s="148" t="s">
        <v>3070</v>
      </c>
      <c r="K142" s="224" t="s">
        <v>3071</v>
      </c>
      <c r="L142" s="230" t="s">
        <v>3072</v>
      </c>
      <c r="M142" s="148" t="s">
        <v>3073</v>
      </c>
    </row>
    <row r="143" spans="1:13" ht="28.5">
      <c r="A143" s="148" t="str">
        <f t="shared" si="10"/>
        <v>DeclarationB10C</v>
      </c>
      <c r="B143" s="148" t="s">
        <v>2979</v>
      </c>
      <c r="C143" s="148" t="s">
        <v>3075</v>
      </c>
      <c r="D143" s="148" t="s">
        <v>3076</v>
      </c>
      <c r="E143" s="206" t="s">
        <v>3077</v>
      </c>
      <c r="F143" s="148" t="s">
        <v>3078</v>
      </c>
      <c r="G143" s="148" t="s">
        <v>3079</v>
      </c>
      <c r="H143" s="148" t="s">
        <v>3080</v>
      </c>
      <c r="I143" s="148" t="s">
        <v>3081</v>
      </c>
      <c r="J143" s="148" t="s">
        <v>3082</v>
      </c>
      <c r="K143" s="224" t="s">
        <v>3083</v>
      </c>
      <c r="L143" s="230" t="s">
        <v>3084</v>
      </c>
      <c r="M143" s="148" t="s">
        <v>3085</v>
      </c>
    </row>
    <row r="144" spans="1:13" ht="28.5">
      <c r="A144" s="148" t="str">
        <f t="shared" si="10"/>
        <v>DeclarationB10B</v>
      </c>
      <c r="B144" s="148" t="s">
        <v>2979</v>
      </c>
      <c r="C144" s="148" t="s">
        <v>3086</v>
      </c>
      <c r="D144" s="148" t="s">
        <v>3087</v>
      </c>
      <c r="E144" s="250" t="s">
        <v>3088</v>
      </c>
      <c r="F144" s="148" t="s">
        <v>3089</v>
      </c>
      <c r="G144" s="148" t="s">
        <v>3090</v>
      </c>
      <c r="H144" s="148" t="s">
        <v>3091</v>
      </c>
      <c r="I144" s="148" t="s">
        <v>3092</v>
      </c>
      <c r="J144" s="148" t="s">
        <v>3093</v>
      </c>
      <c r="K144" s="224" t="s">
        <v>3094</v>
      </c>
      <c r="L144" s="230" t="s">
        <v>3095</v>
      </c>
      <c r="M144" s="148" t="s">
        <v>3096</v>
      </c>
    </row>
    <row r="145" spans="1:13" ht="28.5">
      <c r="A145" s="148" t="str">
        <f t="shared" si="10"/>
        <v>DeclarationD11</v>
      </c>
      <c r="B145" s="148" t="s">
        <v>2979</v>
      </c>
      <c r="C145" s="148" t="s">
        <v>3097</v>
      </c>
      <c r="D145" s="148" t="s">
        <v>3098</v>
      </c>
      <c r="E145" s="250" t="s">
        <v>3099</v>
      </c>
      <c r="F145" s="148" t="s">
        <v>3100</v>
      </c>
      <c r="G145" s="148" t="s">
        <v>3101</v>
      </c>
      <c r="H145" s="148" t="s">
        <v>3102</v>
      </c>
      <c r="I145" s="148" t="s">
        <v>3103</v>
      </c>
      <c r="J145" s="148" t="s">
        <v>3104</v>
      </c>
      <c r="K145" s="148" t="s">
        <v>3105</v>
      </c>
      <c r="L145" s="235" t="s">
        <v>3106</v>
      </c>
      <c r="M145" s="148" t="s">
        <v>3107</v>
      </c>
    </row>
    <row r="146" spans="1:13" ht="28.5">
      <c r="A146" s="148" t="str">
        <f t="shared" si="10"/>
        <v>DeclarationB12</v>
      </c>
      <c r="B146" s="148" t="s">
        <v>2979</v>
      </c>
      <c r="C146" s="148" t="s">
        <v>2472</v>
      </c>
      <c r="D146" s="148" t="s">
        <v>3108</v>
      </c>
      <c r="E146" s="250" t="s">
        <v>3109</v>
      </c>
      <c r="F146" s="148" t="s">
        <v>3110</v>
      </c>
      <c r="G146" s="148" t="s">
        <v>3111</v>
      </c>
      <c r="H146" s="148" t="s">
        <v>3112</v>
      </c>
      <c r="I146" s="148" t="s">
        <v>3113</v>
      </c>
      <c r="J146" s="148" t="s">
        <v>3114</v>
      </c>
      <c r="K146" s="224" t="s">
        <v>3115</v>
      </c>
      <c r="L146" s="230" t="s">
        <v>3116</v>
      </c>
      <c r="M146" s="148" t="s">
        <v>3117</v>
      </c>
    </row>
    <row r="147" spans="1:13" ht="28.5">
      <c r="A147" s="148" t="str">
        <f t="shared" si="10"/>
        <v>DeclarationB13</v>
      </c>
      <c r="B147" s="148" t="s">
        <v>2979</v>
      </c>
      <c r="C147" s="148" t="s">
        <v>2484</v>
      </c>
      <c r="D147" s="148" t="s">
        <v>3118</v>
      </c>
      <c r="E147" s="250" t="s">
        <v>3119</v>
      </c>
      <c r="F147" s="148" t="s">
        <v>3120</v>
      </c>
      <c r="G147" s="148" t="s">
        <v>3121</v>
      </c>
      <c r="H147" s="148" t="s">
        <v>3122</v>
      </c>
      <c r="I147" s="148" t="s">
        <v>3123</v>
      </c>
      <c r="J147" s="148" t="s">
        <v>3124</v>
      </c>
      <c r="K147" s="224" t="s">
        <v>3125</v>
      </c>
      <c r="L147" s="230" t="s">
        <v>3126</v>
      </c>
      <c r="M147" s="148" t="s">
        <v>3127</v>
      </c>
    </row>
    <row r="148" spans="1:13" ht="28.5">
      <c r="A148" s="148" t="str">
        <f t="shared" si="10"/>
        <v>DeclarationB14</v>
      </c>
      <c r="B148" s="148" t="s">
        <v>2979</v>
      </c>
      <c r="C148" s="148" t="s">
        <v>2496</v>
      </c>
      <c r="D148" s="148" t="s">
        <v>3128</v>
      </c>
      <c r="E148" s="206" t="s">
        <v>3129</v>
      </c>
      <c r="F148" s="148" t="s">
        <v>3130</v>
      </c>
      <c r="G148" s="148" t="s">
        <v>3131</v>
      </c>
      <c r="H148" s="148" t="s">
        <v>3132</v>
      </c>
      <c r="I148" s="148" t="s">
        <v>3133</v>
      </c>
      <c r="J148" s="148" t="s">
        <v>3132</v>
      </c>
      <c r="K148" s="224" t="s">
        <v>3134</v>
      </c>
      <c r="L148" s="230" t="s">
        <v>3135</v>
      </c>
      <c r="M148" s="148" t="s">
        <v>3136</v>
      </c>
    </row>
    <row r="149" spans="1:13" ht="28.5">
      <c r="A149" s="148" t="str">
        <f t="shared" si="10"/>
        <v>DeclarationB15</v>
      </c>
      <c r="B149" s="148" t="s">
        <v>2979</v>
      </c>
      <c r="C149" s="148" t="s">
        <v>2508</v>
      </c>
      <c r="D149" s="148" t="s">
        <v>3137</v>
      </c>
      <c r="E149" s="206" t="s">
        <v>3138</v>
      </c>
      <c r="F149" s="148" t="s">
        <v>3139</v>
      </c>
      <c r="G149" s="148" t="s">
        <v>3140</v>
      </c>
      <c r="H149" s="148" t="s">
        <v>3141</v>
      </c>
      <c r="I149" s="148" t="s">
        <v>3142</v>
      </c>
      <c r="J149" s="148" t="s">
        <v>3143</v>
      </c>
      <c r="K149" s="224" t="s">
        <v>3144</v>
      </c>
      <c r="L149" s="230" t="s">
        <v>3145</v>
      </c>
      <c r="M149" s="148" t="s">
        <v>3146</v>
      </c>
    </row>
    <row r="150" spans="1:13" ht="28.5">
      <c r="A150" s="148" t="str">
        <f t="shared" si="10"/>
        <v>DeclarationB16</v>
      </c>
      <c r="B150" s="148" t="s">
        <v>2979</v>
      </c>
      <c r="C150" s="148" t="s">
        <v>2511</v>
      </c>
      <c r="D150" s="148" t="s">
        <v>3147</v>
      </c>
      <c r="E150" s="206" t="s">
        <v>3148</v>
      </c>
      <c r="F150" s="148" t="s">
        <v>3149</v>
      </c>
      <c r="G150" s="148" t="s">
        <v>3150</v>
      </c>
      <c r="H150" s="148" t="s">
        <v>3151</v>
      </c>
      <c r="I150" s="148" t="s">
        <v>3152</v>
      </c>
      <c r="J150" s="148" t="s">
        <v>3153</v>
      </c>
      <c r="K150" s="224" t="s">
        <v>3154</v>
      </c>
      <c r="L150" s="230" t="s">
        <v>3155</v>
      </c>
      <c r="M150" s="148" t="s">
        <v>3156</v>
      </c>
    </row>
    <row r="151" spans="1:13" ht="28.5">
      <c r="A151" s="148" t="str">
        <f t="shared" si="10"/>
        <v>DeclarationB17</v>
      </c>
      <c r="B151" s="148" t="s">
        <v>2979</v>
      </c>
      <c r="C151" s="148" t="s">
        <v>2523</v>
      </c>
      <c r="D151" s="148" t="s">
        <v>3157</v>
      </c>
      <c r="E151" s="206" t="s">
        <v>3158</v>
      </c>
      <c r="F151" s="148" t="s">
        <v>3159</v>
      </c>
      <c r="G151" s="148" t="s">
        <v>3160</v>
      </c>
      <c r="H151" s="148" t="s">
        <v>3161</v>
      </c>
      <c r="I151" s="148" t="s">
        <v>3162</v>
      </c>
      <c r="J151" s="148" t="s">
        <v>3163</v>
      </c>
      <c r="K151" s="224" t="s">
        <v>3164</v>
      </c>
      <c r="L151" s="230" t="s">
        <v>3165</v>
      </c>
      <c r="M151" s="148" t="s">
        <v>3166</v>
      </c>
    </row>
    <row r="152" spans="1:13" ht="28.5">
      <c r="A152" s="148" t="str">
        <f t="shared" si="10"/>
        <v>DeclarationB18</v>
      </c>
      <c r="B152" s="148" t="s">
        <v>2979</v>
      </c>
      <c r="C152" s="148" t="s">
        <v>2535</v>
      </c>
      <c r="D152" s="148" t="s">
        <v>3167</v>
      </c>
      <c r="E152" s="206" t="s">
        <v>3168</v>
      </c>
      <c r="F152" s="148" t="s">
        <v>3169</v>
      </c>
      <c r="G152" s="148" t="s">
        <v>3170</v>
      </c>
      <c r="H152" s="148" t="s">
        <v>3171</v>
      </c>
      <c r="I152" s="148" t="s">
        <v>3172</v>
      </c>
      <c r="J152" s="148" t="s">
        <v>3173</v>
      </c>
      <c r="K152" s="224" t="s">
        <v>3174</v>
      </c>
      <c r="L152" s="230" t="s">
        <v>3175</v>
      </c>
      <c r="M152" s="148" t="s">
        <v>3176</v>
      </c>
    </row>
    <row r="153" spans="1:13" ht="28.5">
      <c r="A153" s="148" t="str">
        <f t="shared" si="10"/>
        <v>DeclarationB19</v>
      </c>
      <c r="B153" s="148" t="s">
        <v>2979</v>
      </c>
      <c r="C153" s="148" t="s">
        <v>2547</v>
      </c>
      <c r="D153" s="148" t="s">
        <v>3177</v>
      </c>
      <c r="E153" s="206" t="s">
        <v>3178</v>
      </c>
      <c r="F153" s="148" t="s">
        <v>3179</v>
      </c>
      <c r="G153" s="148" t="s">
        <v>3180</v>
      </c>
      <c r="H153" s="148" t="s">
        <v>3181</v>
      </c>
      <c r="I153" s="148" t="s">
        <v>3182</v>
      </c>
      <c r="J153" s="148" t="s">
        <v>3183</v>
      </c>
      <c r="K153" s="224" t="s">
        <v>3184</v>
      </c>
      <c r="L153" s="230" t="s">
        <v>3185</v>
      </c>
      <c r="M153" s="148" t="s">
        <v>3186</v>
      </c>
    </row>
    <row r="154" spans="1:13" ht="28.5">
      <c r="A154" s="148" t="str">
        <f t="shared" si="10"/>
        <v>DeclarationB20</v>
      </c>
      <c r="B154" s="148" t="s">
        <v>2979</v>
      </c>
      <c r="C154" s="148" t="s">
        <v>2553</v>
      </c>
      <c r="D154" s="148" t="s">
        <v>3187</v>
      </c>
      <c r="E154" s="206" t="s">
        <v>3188</v>
      </c>
      <c r="F154" s="148" t="s">
        <v>3189</v>
      </c>
      <c r="G154" s="148" t="s">
        <v>3190</v>
      </c>
      <c r="H154" s="148" t="s">
        <v>3191</v>
      </c>
      <c r="I154" s="148" t="s">
        <v>3192</v>
      </c>
      <c r="J154" s="148" t="s">
        <v>3193</v>
      </c>
      <c r="K154" s="224" t="s">
        <v>3194</v>
      </c>
      <c r="L154" s="230" t="s">
        <v>3195</v>
      </c>
      <c r="M154" s="148" t="s">
        <v>3196</v>
      </c>
    </row>
    <row r="155" spans="1:13" ht="28.5">
      <c r="A155" s="148" t="str">
        <f t="shared" si="10"/>
        <v>DeclarationB21</v>
      </c>
      <c r="B155" s="148" t="s">
        <v>2979</v>
      </c>
      <c r="C155" s="148" t="s">
        <v>2565</v>
      </c>
      <c r="D155" s="148" t="s">
        <v>3197</v>
      </c>
      <c r="E155" s="206" t="s">
        <v>3198</v>
      </c>
      <c r="F155" s="136" t="s">
        <v>3199</v>
      </c>
      <c r="G155" s="148" t="s">
        <v>3200</v>
      </c>
      <c r="H155" s="148" t="s">
        <v>3201</v>
      </c>
      <c r="I155" s="148" t="s">
        <v>3202</v>
      </c>
      <c r="J155" s="148" t="s">
        <v>3203</v>
      </c>
      <c r="K155" s="224" t="s">
        <v>3204</v>
      </c>
      <c r="L155" s="230" t="s">
        <v>3205</v>
      </c>
      <c r="M155" s="148" t="s">
        <v>3206</v>
      </c>
    </row>
    <row r="156" spans="1:13" ht="28.5">
      <c r="A156" s="148" t="str">
        <f t="shared" si="10"/>
        <v>DeclarationB22</v>
      </c>
      <c r="B156" s="148" t="s">
        <v>2979</v>
      </c>
      <c r="C156" s="148" t="s">
        <v>2569</v>
      </c>
      <c r="D156" s="148" t="s">
        <v>3207</v>
      </c>
      <c r="E156" s="225" t="s">
        <v>3208</v>
      </c>
      <c r="F156" s="148" t="s">
        <v>3209</v>
      </c>
      <c r="G156" s="148" t="s">
        <v>3210</v>
      </c>
      <c r="H156" s="148" t="s">
        <v>3211</v>
      </c>
      <c r="I156" s="148" t="s">
        <v>3212</v>
      </c>
      <c r="J156" s="148" t="s">
        <v>3213</v>
      </c>
      <c r="K156" s="224" t="s">
        <v>3214</v>
      </c>
      <c r="L156" s="230" t="s">
        <v>3215</v>
      </c>
      <c r="M156" s="148" t="s">
        <v>3216</v>
      </c>
    </row>
    <row r="157" spans="1:13" ht="42.75">
      <c r="A157" s="148" t="str">
        <f t="shared" si="10"/>
        <v>DeclarationB24</v>
      </c>
      <c r="B157" s="148" t="s">
        <v>2979</v>
      </c>
      <c r="C157" s="148" t="s">
        <v>2591</v>
      </c>
      <c r="D157" s="148" t="s">
        <v>3217</v>
      </c>
      <c r="E157" s="206" t="s">
        <v>3218</v>
      </c>
      <c r="F157" s="148" t="s">
        <v>3219</v>
      </c>
      <c r="G157" s="148" t="s">
        <v>3220</v>
      </c>
      <c r="H157" s="148" t="s">
        <v>3221</v>
      </c>
      <c r="I157" s="148" t="s">
        <v>3222</v>
      </c>
      <c r="J157" s="148" t="s">
        <v>3223</v>
      </c>
      <c r="K157" s="224" t="s">
        <v>3224</v>
      </c>
      <c r="L157" s="230" t="s">
        <v>3225</v>
      </c>
      <c r="M157" s="148" t="s">
        <v>3226</v>
      </c>
    </row>
    <row r="158" spans="1:13" ht="30">
      <c r="A158" s="148" t="str">
        <f t="shared" si="10"/>
        <v>DeclarationB25</v>
      </c>
      <c r="B158" s="148" t="s">
        <v>2979</v>
      </c>
      <c r="C158" s="148" t="s">
        <v>2601</v>
      </c>
      <c r="D158" s="106" t="s">
        <v>3227</v>
      </c>
      <c r="E158" s="207" t="s">
        <v>3228</v>
      </c>
      <c r="F158" s="256" t="s">
        <v>3229</v>
      </c>
      <c r="G158" s="232" t="s">
        <v>3230</v>
      </c>
      <c r="H158" s="232" t="s">
        <v>3231</v>
      </c>
      <c r="I158" s="232" t="s">
        <v>3232</v>
      </c>
      <c r="J158" s="232" t="s">
        <v>3233</v>
      </c>
      <c r="K158" s="233" t="s">
        <v>3234</v>
      </c>
      <c r="L158" s="226" t="s">
        <v>3235</v>
      </c>
      <c r="M158" s="232" t="s">
        <v>3236</v>
      </c>
    </row>
    <row r="159" spans="1:13" ht="28.5">
      <c r="A159" s="148" t="str">
        <f t="shared" si="10"/>
        <v>DeclarationB31</v>
      </c>
      <c r="B159" s="148" t="s">
        <v>2979</v>
      </c>
      <c r="C159" s="148" t="s">
        <v>2667</v>
      </c>
      <c r="D159" s="106" t="s">
        <v>3237</v>
      </c>
      <c r="E159" s="207" t="s">
        <v>3238</v>
      </c>
      <c r="F159" s="256" t="s">
        <v>3239</v>
      </c>
      <c r="G159" s="226" t="s">
        <v>3240</v>
      </c>
      <c r="H159" s="232" t="s">
        <v>3241</v>
      </c>
      <c r="I159" s="226" t="s">
        <v>3242</v>
      </c>
      <c r="J159" s="226" t="s">
        <v>3243</v>
      </c>
      <c r="K159" s="233" t="s">
        <v>3244</v>
      </c>
      <c r="L159" s="226" t="s">
        <v>3245</v>
      </c>
      <c r="M159" s="226" t="s">
        <v>3246</v>
      </c>
    </row>
    <row r="160" spans="1:13" ht="51">
      <c r="A160" s="148" t="str">
        <f t="shared" si="10"/>
        <v>DeclarationB37</v>
      </c>
      <c r="B160" s="148" t="s">
        <v>2979</v>
      </c>
      <c r="C160" s="148" t="s">
        <v>3247</v>
      </c>
      <c r="D160" s="106" t="s">
        <v>3248</v>
      </c>
      <c r="E160" s="225" t="s">
        <v>3249</v>
      </c>
      <c r="F160" s="106" t="s">
        <v>3250</v>
      </c>
      <c r="G160" s="106" t="s">
        <v>3251</v>
      </c>
      <c r="H160" s="106" t="s">
        <v>3252</v>
      </c>
      <c r="I160" s="106" t="s">
        <v>3253</v>
      </c>
      <c r="J160" s="106" t="s">
        <v>3254</v>
      </c>
      <c r="K160" s="106" t="s">
        <v>3255</v>
      </c>
      <c r="L160" s="231" t="s">
        <v>3256</v>
      </c>
      <c r="M160" s="106" t="s">
        <v>3257</v>
      </c>
    </row>
    <row r="161" spans="1:13" ht="38.25">
      <c r="A161" s="148" t="str">
        <f t="shared" si="10"/>
        <v>DeclarationB43</v>
      </c>
      <c r="B161" s="148" t="s">
        <v>2979</v>
      </c>
      <c r="C161" s="148" t="s">
        <v>3258</v>
      </c>
      <c r="D161" s="106" t="s">
        <v>3259</v>
      </c>
      <c r="E161" s="106" t="s">
        <v>3260</v>
      </c>
      <c r="F161" s="106" t="s">
        <v>3261</v>
      </c>
      <c r="G161" s="106" t="s">
        <v>3262</v>
      </c>
      <c r="H161" s="106" t="s">
        <v>3263</v>
      </c>
      <c r="I161" s="106" t="s">
        <v>3264</v>
      </c>
      <c r="J161" s="106" t="s">
        <v>3265</v>
      </c>
      <c r="K161" s="106" t="s">
        <v>3266</v>
      </c>
      <c r="L161" s="106" t="s">
        <v>3267</v>
      </c>
      <c r="M161" s="106" t="s">
        <v>3268</v>
      </c>
    </row>
    <row r="162" spans="1:13" ht="45">
      <c r="A162" s="148" t="str">
        <f t="shared" si="10"/>
        <v>DeclarationB49</v>
      </c>
      <c r="B162" s="148" t="s">
        <v>2979</v>
      </c>
      <c r="C162" s="148" t="s">
        <v>3269</v>
      </c>
      <c r="D162" s="106" t="s">
        <v>3270</v>
      </c>
      <c r="E162" s="225" t="s">
        <v>3271</v>
      </c>
      <c r="F162" s="106" t="s">
        <v>3272</v>
      </c>
      <c r="G162" s="106" t="s">
        <v>3273</v>
      </c>
      <c r="H162" s="106" t="s">
        <v>3274</v>
      </c>
      <c r="I162" s="106" t="s">
        <v>3275</v>
      </c>
      <c r="J162" s="106" t="s">
        <v>3276</v>
      </c>
      <c r="K162" s="106" t="s">
        <v>3277</v>
      </c>
      <c r="L162" s="231" t="s">
        <v>3278</v>
      </c>
      <c r="M162" s="106" t="s">
        <v>3279</v>
      </c>
    </row>
    <row r="163" spans="1:13" ht="42.75">
      <c r="A163" s="148" t="str">
        <f t="shared" si="10"/>
        <v>DeclarationB55</v>
      </c>
      <c r="B163" s="148" t="s">
        <v>2979</v>
      </c>
      <c r="C163" s="148" t="s">
        <v>3280</v>
      </c>
      <c r="D163" s="106" t="s">
        <v>3281</v>
      </c>
      <c r="E163" s="251" t="s">
        <v>3282</v>
      </c>
      <c r="F163" s="226" t="s">
        <v>3283</v>
      </c>
      <c r="G163" s="226" t="s">
        <v>3284</v>
      </c>
      <c r="H163" s="226" t="s">
        <v>3285</v>
      </c>
      <c r="I163" s="226" t="s">
        <v>3286</v>
      </c>
      <c r="J163" s="226" t="s">
        <v>3287</v>
      </c>
      <c r="K163" s="233" t="s">
        <v>3288</v>
      </c>
      <c r="L163" s="226" t="s">
        <v>3289</v>
      </c>
      <c r="M163" s="226" t="s">
        <v>3290</v>
      </c>
    </row>
    <row r="164" spans="1:13" ht="38.25">
      <c r="A164" s="148" t="str">
        <f t="shared" si="10"/>
        <v>DeclarationB61</v>
      </c>
      <c r="B164" s="148" t="s">
        <v>2979</v>
      </c>
      <c r="C164" s="148" t="s">
        <v>3291</v>
      </c>
      <c r="D164" s="106" t="s">
        <v>3292</v>
      </c>
      <c r="E164" s="249" t="s">
        <v>3293</v>
      </c>
      <c r="F164" s="106" t="s">
        <v>3294</v>
      </c>
      <c r="G164" s="106" t="s">
        <v>3295</v>
      </c>
      <c r="H164" s="106" t="s">
        <v>3296</v>
      </c>
      <c r="I164" s="106" t="s">
        <v>3297</v>
      </c>
      <c r="J164" s="106" t="s">
        <v>3298</v>
      </c>
      <c r="K164" s="106" t="s">
        <v>3299</v>
      </c>
      <c r="L164" s="231" t="s">
        <v>3300</v>
      </c>
      <c r="M164" s="106" t="s">
        <v>3301</v>
      </c>
    </row>
    <row r="165" spans="1:13" ht="38.25">
      <c r="A165" s="148" t="str">
        <f t="shared" si="10"/>
        <v>DeclarationB67</v>
      </c>
      <c r="B165" s="148" t="s">
        <v>2979</v>
      </c>
      <c r="C165" s="148" t="s">
        <v>3302</v>
      </c>
      <c r="D165" s="106" t="s">
        <v>3303</v>
      </c>
      <c r="E165" s="249" t="s">
        <v>3304</v>
      </c>
      <c r="F165" s="106" t="s">
        <v>3305</v>
      </c>
      <c r="G165" s="106" t="s">
        <v>3306</v>
      </c>
      <c r="H165" s="106" t="s">
        <v>3307</v>
      </c>
      <c r="I165" s="106" t="s">
        <v>3308</v>
      </c>
      <c r="J165" s="106" t="s">
        <v>3309</v>
      </c>
      <c r="K165" s="106" t="s">
        <v>3310</v>
      </c>
      <c r="L165" s="231" t="s">
        <v>3311</v>
      </c>
      <c r="M165" s="106" t="s">
        <v>3312</v>
      </c>
    </row>
    <row r="166" spans="1:13" ht="28.5">
      <c r="A166" s="148" t="str">
        <f t="shared" si="10"/>
        <v>DeclarationB73</v>
      </c>
      <c r="B166" s="148" t="s">
        <v>2979</v>
      </c>
      <c r="C166" s="148" t="s">
        <v>3313</v>
      </c>
      <c r="D166" s="148" t="s">
        <v>3314</v>
      </c>
      <c r="E166" s="250" t="s">
        <v>3315</v>
      </c>
      <c r="F166" s="148" t="s">
        <v>3316</v>
      </c>
      <c r="G166" s="148" t="s">
        <v>3317</v>
      </c>
      <c r="H166" s="148" t="s">
        <v>3318</v>
      </c>
      <c r="I166" s="148" t="s">
        <v>3319</v>
      </c>
      <c r="J166" s="148" t="s">
        <v>3320</v>
      </c>
      <c r="K166" s="224" t="s">
        <v>3321</v>
      </c>
      <c r="L166" s="230" t="s">
        <v>3322</v>
      </c>
      <c r="M166" s="148" t="s">
        <v>3323</v>
      </c>
    </row>
    <row r="167" spans="1:13" ht="28.5">
      <c r="A167" s="148" t="str">
        <f t="shared" si="10"/>
        <v>DeclarationB75</v>
      </c>
      <c r="B167" s="148" t="s">
        <v>2979</v>
      </c>
      <c r="C167" s="148" t="s">
        <v>3324</v>
      </c>
      <c r="D167" s="148" t="s">
        <v>3325</v>
      </c>
      <c r="E167" s="148" t="s">
        <v>3326</v>
      </c>
      <c r="F167" s="148" t="s">
        <v>3327</v>
      </c>
      <c r="G167" s="148" t="s">
        <v>3328</v>
      </c>
      <c r="H167" s="148" t="s">
        <v>3329</v>
      </c>
      <c r="I167" s="148" t="s">
        <v>3330</v>
      </c>
      <c r="J167" s="148" t="s">
        <v>3331</v>
      </c>
      <c r="K167" s="148" t="s">
        <v>3332</v>
      </c>
      <c r="L167" s="148" t="s">
        <v>3333</v>
      </c>
      <c r="M167" s="148" t="s">
        <v>3334</v>
      </c>
    </row>
    <row r="168" spans="1:13" ht="71.25">
      <c r="A168" s="148" t="str">
        <f t="shared" si="10"/>
        <v>DeclarationB77</v>
      </c>
      <c r="B168" s="148" t="s">
        <v>2979</v>
      </c>
      <c r="C168" s="148" t="s">
        <v>3335</v>
      </c>
      <c r="D168" s="148" t="s">
        <v>3336</v>
      </c>
      <c r="E168" s="148" t="s">
        <v>3337</v>
      </c>
      <c r="F168" s="148" t="s">
        <v>3338</v>
      </c>
      <c r="G168" s="148" t="s">
        <v>3339</v>
      </c>
      <c r="H168" s="148" t="s">
        <v>3340</v>
      </c>
      <c r="I168" s="148" t="s">
        <v>3341</v>
      </c>
      <c r="J168" s="148" t="s">
        <v>3342</v>
      </c>
      <c r="K168" s="148" t="s">
        <v>3343</v>
      </c>
      <c r="L168" s="148" t="s">
        <v>3344</v>
      </c>
      <c r="M168" s="148" t="s">
        <v>3345</v>
      </c>
    </row>
    <row r="169" spans="1:13" ht="51">
      <c r="A169" s="148" t="str">
        <f t="shared" ref="A169" si="11">B169&amp;C169</f>
        <v>DeclarationB79</v>
      </c>
      <c r="B169" s="148" t="s">
        <v>2979</v>
      </c>
      <c r="C169" s="148" t="s">
        <v>3346</v>
      </c>
      <c r="D169" s="106" t="s">
        <v>3347</v>
      </c>
      <c r="E169" s="249" t="s">
        <v>3348</v>
      </c>
      <c r="F169" s="106" t="s">
        <v>3349</v>
      </c>
      <c r="G169" s="106" t="s">
        <v>3350</v>
      </c>
      <c r="H169" s="106" t="s">
        <v>3351</v>
      </c>
      <c r="I169" s="106" t="s">
        <v>3352</v>
      </c>
      <c r="J169" s="106" t="s">
        <v>3353</v>
      </c>
      <c r="K169" s="106" t="s">
        <v>3354</v>
      </c>
      <c r="L169" s="231" t="s">
        <v>3355</v>
      </c>
      <c r="M169" s="106" t="s">
        <v>3356</v>
      </c>
    </row>
    <row r="170" spans="1:13" ht="38.25">
      <c r="A170" s="148" t="str">
        <f t="shared" ref="A170:A205" si="12">B170&amp;C170</f>
        <v>DeclarationB81</v>
      </c>
      <c r="B170" s="148" t="s">
        <v>2979</v>
      </c>
      <c r="C170" s="148" t="s">
        <v>3357</v>
      </c>
      <c r="D170" s="106" t="s">
        <v>3358</v>
      </c>
      <c r="E170" s="106" t="s">
        <v>3359</v>
      </c>
      <c r="F170" s="106" t="s">
        <v>3360</v>
      </c>
      <c r="G170" s="106" t="s">
        <v>3361</v>
      </c>
      <c r="H170" s="106" t="s">
        <v>3362</v>
      </c>
      <c r="I170" s="106" t="s">
        <v>3363</v>
      </c>
      <c r="J170" s="106" t="s">
        <v>3364</v>
      </c>
      <c r="K170" s="106" t="s">
        <v>3365</v>
      </c>
      <c r="L170" s="106" t="s">
        <v>3366</v>
      </c>
      <c r="M170" s="106" t="s">
        <v>3367</v>
      </c>
    </row>
    <row r="171" spans="1:13" ht="45">
      <c r="A171" s="148" t="str">
        <f t="shared" si="12"/>
        <v>DeclarationB83</v>
      </c>
      <c r="B171" s="148" t="s">
        <v>2979</v>
      </c>
      <c r="C171" s="148" t="s">
        <v>3368</v>
      </c>
      <c r="D171" s="106" t="s">
        <v>3369</v>
      </c>
      <c r="E171" s="251" t="s">
        <v>3370</v>
      </c>
      <c r="F171" s="256" t="s">
        <v>3371</v>
      </c>
      <c r="G171" s="226" t="s">
        <v>3372</v>
      </c>
      <c r="H171" s="226" t="s">
        <v>3373</v>
      </c>
      <c r="I171" s="226" t="s">
        <v>3374</v>
      </c>
      <c r="J171" s="226" t="s">
        <v>3375</v>
      </c>
      <c r="K171" s="233" t="s">
        <v>3376</v>
      </c>
      <c r="L171" s="226" t="s">
        <v>3377</v>
      </c>
      <c r="M171" s="226" t="s">
        <v>3378</v>
      </c>
    </row>
    <row r="172" spans="1:13" ht="57">
      <c r="A172" s="148" t="str">
        <f t="shared" si="12"/>
        <v>DeclarationB85</v>
      </c>
      <c r="B172" s="148" t="s">
        <v>2979</v>
      </c>
      <c r="C172" s="148" t="s">
        <v>3379</v>
      </c>
      <c r="D172" s="148" t="s">
        <v>3380</v>
      </c>
      <c r="E172" s="250" t="s">
        <v>3381</v>
      </c>
      <c r="F172" s="148" t="s">
        <v>3382</v>
      </c>
      <c r="G172" s="148" t="s">
        <v>3383</v>
      </c>
      <c r="H172" s="148" t="s">
        <v>3384</v>
      </c>
      <c r="I172" s="148" t="s">
        <v>3385</v>
      </c>
      <c r="J172" s="148" t="s">
        <v>3386</v>
      </c>
      <c r="K172" s="224" t="s">
        <v>3387</v>
      </c>
      <c r="L172" s="230" t="s">
        <v>3388</v>
      </c>
      <c r="M172" s="148" t="s">
        <v>3389</v>
      </c>
    </row>
    <row r="173" spans="1:13" ht="42.75">
      <c r="A173" s="148" t="str">
        <f t="shared" si="12"/>
        <v>DeclarationB87</v>
      </c>
      <c r="B173" s="148" t="s">
        <v>2979</v>
      </c>
      <c r="C173" s="148" t="s">
        <v>3390</v>
      </c>
      <c r="D173" s="148" t="s">
        <v>3391</v>
      </c>
      <c r="E173" s="250" t="s">
        <v>3392</v>
      </c>
      <c r="F173" s="148" t="s">
        <v>3393</v>
      </c>
      <c r="G173" s="148" t="s">
        <v>3394</v>
      </c>
      <c r="H173" s="148" t="s">
        <v>3395</v>
      </c>
      <c r="I173" s="148" t="s">
        <v>3396</v>
      </c>
      <c r="J173" s="148" t="s">
        <v>3397</v>
      </c>
      <c r="K173" s="224" t="s">
        <v>3398</v>
      </c>
      <c r="L173" s="230" t="s">
        <v>3399</v>
      </c>
      <c r="M173" s="148" t="s">
        <v>3400</v>
      </c>
    </row>
    <row r="174" spans="1:13" ht="30">
      <c r="A174" s="148" t="str">
        <f t="shared" si="12"/>
        <v>DeclarationB89</v>
      </c>
      <c r="B174" s="148" t="s">
        <v>2979</v>
      </c>
      <c r="C174" s="148" t="s">
        <v>3401</v>
      </c>
      <c r="D174" s="148" t="s">
        <v>3402</v>
      </c>
      <c r="E174" s="255" t="s">
        <v>3403</v>
      </c>
      <c r="F174" s="256" t="s">
        <v>3404</v>
      </c>
      <c r="G174" s="255" t="s">
        <v>3405</v>
      </c>
      <c r="H174" s="255" t="s">
        <v>3406</v>
      </c>
      <c r="I174" s="255" t="s">
        <v>3407</v>
      </c>
      <c r="J174" s="255" t="s">
        <v>3408</v>
      </c>
      <c r="K174" s="255" t="s">
        <v>3409</v>
      </c>
      <c r="L174" s="255" t="s">
        <v>3410</v>
      </c>
      <c r="M174" s="255" t="s">
        <v>3411</v>
      </c>
    </row>
    <row r="175" spans="1:13" ht="28.5">
      <c r="A175" s="148" t="str">
        <f t="shared" si="12"/>
        <v>DeclarationD25</v>
      </c>
      <c r="B175" s="148" t="s">
        <v>2979</v>
      </c>
      <c r="C175" s="148" t="s">
        <v>3412</v>
      </c>
      <c r="D175" s="148" t="s">
        <v>3413</v>
      </c>
      <c r="E175" s="206" t="s">
        <v>3414</v>
      </c>
      <c r="F175" s="148" t="s">
        <v>3414</v>
      </c>
      <c r="G175" s="148" t="s">
        <v>3415</v>
      </c>
      <c r="H175" s="148" t="s">
        <v>3416</v>
      </c>
      <c r="I175" s="148" t="s">
        <v>3417</v>
      </c>
      <c r="J175" s="148" t="s">
        <v>3418</v>
      </c>
      <c r="K175" s="224" t="s">
        <v>3419</v>
      </c>
      <c r="L175" s="230" t="s">
        <v>3420</v>
      </c>
      <c r="M175" s="148" t="s">
        <v>3421</v>
      </c>
    </row>
    <row r="176" spans="1:13" ht="28.5">
      <c r="A176" s="148" t="str">
        <f t="shared" si="12"/>
        <v>DeclarationB74</v>
      </c>
      <c r="B176" s="148" t="s">
        <v>2979</v>
      </c>
      <c r="C176" s="148" t="s">
        <v>3422</v>
      </c>
      <c r="D176" s="148" t="s">
        <v>3423</v>
      </c>
      <c r="E176" s="206" t="s">
        <v>3424</v>
      </c>
      <c r="F176" s="148" t="s">
        <v>3425</v>
      </c>
      <c r="G176" s="148" t="s">
        <v>3426</v>
      </c>
      <c r="H176" s="148" t="s">
        <v>3423</v>
      </c>
      <c r="I176" s="148" t="s">
        <v>3427</v>
      </c>
      <c r="J176" s="148" t="s">
        <v>3428</v>
      </c>
      <c r="K176" s="224" t="s">
        <v>3429</v>
      </c>
      <c r="L176" s="230" t="s">
        <v>3430</v>
      </c>
      <c r="M176" s="148" t="s">
        <v>3431</v>
      </c>
    </row>
    <row r="177" spans="1:13" ht="28.5">
      <c r="A177" s="148" t="str">
        <f t="shared" si="12"/>
        <v>DeclarationG25</v>
      </c>
      <c r="B177" s="148" t="s">
        <v>2979</v>
      </c>
      <c r="C177" s="148" t="s">
        <v>3432</v>
      </c>
      <c r="D177" s="148" t="s">
        <v>3433</v>
      </c>
      <c r="E177" s="206" t="s">
        <v>3434</v>
      </c>
      <c r="F177" s="148" t="s">
        <v>3435</v>
      </c>
      <c r="G177" s="148" t="s">
        <v>3436</v>
      </c>
      <c r="H177" s="148" t="s">
        <v>3437</v>
      </c>
      <c r="I177" s="148" t="s">
        <v>3438</v>
      </c>
      <c r="J177" s="148" t="s">
        <v>3439</v>
      </c>
      <c r="K177" s="224" t="s">
        <v>3440</v>
      </c>
      <c r="L177" s="230" t="s">
        <v>3441</v>
      </c>
      <c r="M177" s="148" t="s">
        <v>3442</v>
      </c>
    </row>
    <row r="178" spans="1:13" ht="28.5">
      <c r="A178" s="148" t="str">
        <f t="shared" si="12"/>
        <v>DeclarationB26</v>
      </c>
      <c r="B178" s="148" t="s">
        <v>2979</v>
      </c>
      <c r="C178" s="148" t="s">
        <v>2613</v>
      </c>
      <c r="D178" s="148" t="s">
        <v>3443</v>
      </c>
      <c r="E178" s="206" t="s">
        <v>3444</v>
      </c>
      <c r="F178" s="148" t="s">
        <v>3445</v>
      </c>
      <c r="G178" s="148" t="s">
        <v>3446</v>
      </c>
      <c r="H178" s="148" t="s">
        <v>3447</v>
      </c>
      <c r="I178" s="148" t="s">
        <v>3448</v>
      </c>
      <c r="J178" s="148" t="s">
        <v>3449</v>
      </c>
      <c r="K178" s="224" t="s">
        <v>3450</v>
      </c>
      <c r="L178" s="230" t="s">
        <v>3450</v>
      </c>
      <c r="M178" s="148" t="s">
        <v>3451</v>
      </c>
    </row>
    <row r="179" spans="1:13" ht="28.5">
      <c r="A179" s="148" t="str">
        <f t="shared" si="12"/>
        <v>DeclarationB27</v>
      </c>
      <c r="B179" s="148" t="s">
        <v>2979</v>
      </c>
      <c r="C179" s="148" t="s">
        <v>2619</v>
      </c>
      <c r="D179" s="148" t="s">
        <v>3452</v>
      </c>
      <c r="E179" s="206" t="s">
        <v>3453</v>
      </c>
      <c r="F179" s="148" t="s">
        <v>3454</v>
      </c>
      <c r="G179" s="148" t="s">
        <v>3455</v>
      </c>
      <c r="H179" s="148" t="s">
        <v>3456</v>
      </c>
      <c r="I179" s="148" t="s">
        <v>3457</v>
      </c>
      <c r="J179" s="148" t="s">
        <v>3458</v>
      </c>
      <c r="K179" s="224" t="s">
        <v>3459</v>
      </c>
      <c r="L179" s="230" t="s">
        <v>3460</v>
      </c>
      <c r="M179" s="148" t="s">
        <v>3461</v>
      </c>
    </row>
    <row r="180" spans="1:13" ht="28.5">
      <c r="A180" s="148" t="str">
        <f t="shared" si="12"/>
        <v>DeclarationB28</v>
      </c>
      <c r="B180" s="148" t="s">
        <v>2979</v>
      </c>
      <c r="C180" s="148" t="s">
        <v>2631</v>
      </c>
      <c r="D180" s="148" t="s">
        <v>3462</v>
      </c>
      <c r="E180" s="206" t="s">
        <v>3463</v>
      </c>
      <c r="F180" s="148" t="s">
        <v>3463</v>
      </c>
      <c r="G180" s="148" t="s">
        <v>3464</v>
      </c>
      <c r="H180" s="148" t="s">
        <v>3465</v>
      </c>
      <c r="I180" s="148" t="s">
        <v>3466</v>
      </c>
      <c r="J180" s="148" t="s">
        <v>3462</v>
      </c>
      <c r="K180" s="224" t="s">
        <v>3467</v>
      </c>
      <c r="L180" s="230" t="s">
        <v>3467</v>
      </c>
      <c r="M180" s="148" t="s">
        <v>3468</v>
      </c>
    </row>
    <row r="181" spans="1:13" ht="28.5">
      <c r="A181" s="148" t="str">
        <f t="shared" si="12"/>
        <v>DeclarationB29</v>
      </c>
      <c r="B181" s="148" t="s">
        <v>2979</v>
      </c>
      <c r="C181" s="148" t="s">
        <v>2643</v>
      </c>
      <c r="D181" s="148" t="s">
        <v>3469</v>
      </c>
      <c r="E181" s="225" t="s">
        <v>3470</v>
      </c>
      <c r="F181" s="148" t="s">
        <v>3471</v>
      </c>
      <c r="G181" s="148" t="s">
        <v>3472</v>
      </c>
      <c r="H181" s="148" t="s">
        <v>3473</v>
      </c>
      <c r="I181" s="148" t="s">
        <v>3474</v>
      </c>
      <c r="J181" s="148" t="s">
        <v>3475</v>
      </c>
      <c r="K181" s="224" t="s">
        <v>3476</v>
      </c>
      <c r="L181" s="230" t="s">
        <v>3476</v>
      </c>
      <c r="M181" s="148" t="s">
        <v>3477</v>
      </c>
    </row>
    <row r="182" spans="1:13" ht="28.5">
      <c r="A182" s="148" t="str">
        <f t="shared" si="12"/>
        <v>DeclarationB38</v>
      </c>
      <c r="B182" s="148" t="s">
        <v>2979</v>
      </c>
      <c r="C182" s="148" t="s">
        <v>3478</v>
      </c>
      <c r="D182" s="148" t="s">
        <v>3443</v>
      </c>
      <c r="E182" s="225" t="s">
        <v>3444</v>
      </c>
      <c r="F182" s="148" t="s">
        <v>3445</v>
      </c>
      <c r="G182" s="148" t="s">
        <v>3446</v>
      </c>
      <c r="H182" s="148" t="s">
        <v>3447</v>
      </c>
      <c r="I182" s="148" t="s">
        <v>3448</v>
      </c>
      <c r="J182" s="148" t="s">
        <v>3449</v>
      </c>
      <c r="K182" s="224" t="s">
        <v>3450</v>
      </c>
      <c r="L182" s="230" t="s">
        <v>3450</v>
      </c>
      <c r="M182" s="148" t="s">
        <v>3451</v>
      </c>
    </row>
    <row r="183" spans="1:13" ht="28.5">
      <c r="A183" s="148" t="str">
        <f t="shared" si="12"/>
        <v>DeclarationB39</v>
      </c>
      <c r="B183" s="148" t="s">
        <v>2979</v>
      </c>
      <c r="C183" s="148" t="s">
        <v>3479</v>
      </c>
      <c r="D183" s="148" t="s">
        <v>3452</v>
      </c>
      <c r="E183" s="225" t="s">
        <v>3453</v>
      </c>
      <c r="F183" s="148" t="s">
        <v>3454</v>
      </c>
      <c r="G183" s="148" t="s">
        <v>3455</v>
      </c>
      <c r="H183" s="148" t="s">
        <v>3456</v>
      </c>
      <c r="I183" s="148" t="s">
        <v>3457</v>
      </c>
      <c r="J183" s="148" t="s">
        <v>3458</v>
      </c>
      <c r="K183" s="224" t="s">
        <v>3459</v>
      </c>
      <c r="L183" s="230" t="s">
        <v>3460</v>
      </c>
      <c r="M183" s="148" t="s">
        <v>3461</v>
      </c>
    </row>
    <row r="184" spans="1:13" ht="28.5">
      <c r="A184" s="148" t="str">
        <f t="shared" si="12"/>
        <v>DeclarationB40</v>
      </c>
      <c r="B184" s="148" t="s">
        <v>2979</v>
      </c>
      <c r="C184" s="148" t="s">
        <v>3480</v>
      </c>
      <c r="D184" s="148" t="s">
        <v>3462</v>
      </c>
      <c r="E184" s="225" t="s">
        <v>3463</v>
      </c>
      <c r="F184" s="148" t="s">
        <v>3463</v>
      </c>
      <c r="G184" s="148" t="s">
        <v>3464</v>
      </c>
      <c r="H184" s="148" t="s">
        <v>3465</v>
      </c>
      <c r="I184" s="148" t="s">
        <v>3466</v>
      </c>
      <c r="J184" s="148" t="s">
        <v>3462</v>
      </c>
      <c r="K184" s="224" t="s">
        <v>3467</v>
      </c>
      <c r="L184" s="230" t="s">
        <v>3467</v>
      </c>
      <c r="M184" s="148" t="s">
        <v>3468</v>
      </c>
    </row>
    <row r="185" spans="1:13" ht="28.5">
      <c r="A185" s="148" t="str">
        <f t="shared" si="12"/>
        <v>DeclarationB41</v>
      </c>
      <c r="B185" s="148" t="s">
        <v>2979</v>
      </c>
      <c r="C185" s="148" t="s">
        <v>3481</v>
      </c>
      <c r="D185" s="148" t="s">
        <v>3469</v>
      </c>
      <c r="E185" s="225" t="s">
        <v>3470</v>
      </c>
      <c r="F185" s="148" t="s">
        <v>3471</v>
      </c>
      <c r="G185" s="148" t="s">
        <v>3472</v>
      </c>
      <c r="H185" s="148" t="s">
        <v>3473</v>
      </c>
      <c r="I185" s="148" t="s">
        <v>3474</v>
      </c>
      <c r="J185" s="148" t="s">
        <v>3475</v>
      </c>
      <c r="K185" s="224" t="s">
        <v>3476</v>
      </c>
      <c r="L185" s="230" t="s">
        <v>3476</v>
      </c>
      <c r="M185" s="148" t="s">
        <v>3477</v>
      </c>
    </row>
    <row r="186" spans="1:13" ht="28.5">
      <c r="A186" s="148" t="str">
        <f t="shared" si="12"/>
        <v>DeclarationB44</v>
      </c>
      <c r="B186" s="148" t="s">
        <v>2979</v>
      </c>
      <c r="C186" s="148" t="s">
        <v>3482</v>
      </c>
      <c r="D186" s="148" t="s">
        <v>3443</v>
      </c>
      <c r="E186" s="225" t="s">
        <v>3444</v>
      </c>
      <c r="F186" s="148" t="s">
        <v>3445</v>
      </c>
      <c r="G186" s="148" t="s">
        <v>3446</v>
      </c>
      <c r="H186" s="148" t="s">
        <v>3447</v>
      </c>
      <c r="I186" s="148" t="s">
        <v>3448</v>
      </c>
      <c r="J186" s="148" t="s">
        <v>3449</v>
      </c>
      <c r="K186" s="224" t="s">
        <v>3450</v>
      </c>
      <c r="L186" s="230" t="s">
        <v>3450</v>
      </c>
      <c r="M186" s="148" t="s">
        <v>3451</v>
      </c>
    </row>
    <row r="187" spans="1:13" ht="28.5">
      <c r="A187" s="148" t="str">
        <f t="shared" si="12"/>
        <v>DeclarationB45</v>
      </c>
      <c r="B187" s="148" t="s">
        <v>2979</v>
      </c>
      <c r="C187" s="148" t="s">
        <v>3483</v>
      </c>
      <c r="D187" s="148" t="s">
        <v>3452</v>
      </c>
      <c r="E187" s="225" t="s">
        <v>3453</v>
      </c>
      <c r="F187" s="148" t="s">
        <v>3454</v>
      </c>
      <c r="G187" s="148" t="s">
        <v>3455</v>
      </c>
      <c r="H187" s="148" t="s">
        <v>3456</v>
      </c>
      <c r="I187" s="148" t="s">
        <v>3457</v>
      </c>
      <c r="J187" s="148" t="s">
        <v>3458</v>
      </c>
      <c r="K187" s="224" t="s">
        <v>3459</v>
      </c>
      <c r="L187" s="230" t="s">
        <v>3460</v>
      </c>
      <c r="M187" s="148" t="s">
        <v>3461</v>
      </c>
    </row>
    <row r="188" spans="1:13" ht="28.5">
      <c r="A188" s="148" t="str">
        <f t="shared" si="12"/>
        <v>DeclarationB46</v>
      </c>
      <c r="B188" s="148" t="s">
        <v>2979</v>
      </c>
      <c r="C188" s="148" t="s">
        <v>3484</v>
      </c>
      <c r="D188" s="148" t="s">
        <v>3462</v>
      </c>
      <c r="E188" s="225" t="s">
        <v>3463</v>
      </c>
      <c r="F188" s="148" t="s">
        <v>3463</v>
      </c>
      <c r="G188" s="148" t="s">
        <v>3464</v>
      </c>
      <c r="H188" s="148" t="s">
        <v>3465</v>
      </c>
      <c r="I188" s="148" t="s">
        <v>3466</v>
      </c>
      <c r="J188" s="148" t="s">
        <v>3462</v>
      </c>
      <c r="K188" s="224" t="s">
        <v>3467</v>
      </c>
      <c r="L188" s="230" t="s">
        <v>3467</v>
      </c>
      <c r="M188" s="148" t="s">
        <v>3468</v>
      </c>
    </row>
    <row r="189" spans="1:13" ht="28.5">
      <c r="A189" s="148" t="str">
        <f t="shared" si="12"/>
        <v>DeclarationB47</v>
      </c>
      <c r="B189" s="148" t="s">
        <v>2979</v>
      </c>
      <c r="C189" s="148" t="s">
        <v>3485</v>
      </c>
      <c r="D189" s="148" t="s">
        <v>3469</v>
      </c>
      <c r="E189" s="225" t="s">
        <v>3470</v>
      </c>
      <c r="F189" s="148" t="s">
        <v>3471</v>
      </c>
      <c r="G189" s="148" t="s">
        <v>3472</v>
      </c>
      <c r="H189" s="148" t="s">
        <v>3473</v>
      </c>
      <c r="I189" s="148" t="s">
        <v>3474</v>
      </c>
      <c r="J189" s="148" t="s">
        <v>3475</v>
      </c>
      <c r="K189" s="224" t="s">
        <v>3476</v>
      </c>
      <c r="L189" s="230" t="s">
        <v>3476</v>
      </c>
      <c r="M189" s="148" t="s">
        <v>3477</v>
      </c>
    </row>
    <row r="190" spans="1:13" ht="28.5">
      <c r="A190" s="148" t="str">
        <f t="shared" si="12"/>
        <v>DeclarationAth</v>
      </c>
      <c r="B190" s="148" t="s">
        <v>2979</v>
      </c>
      <c r="C190" s="148" t="s">
        <v>3486</v>
      </c>
      <c r="D190" s="148" t="s">
        <v>3487</v>
      </c>
      <c r="E190" s="206" t="s">
        <v>3488</v>
      </c>
      <c r="F190" s="148" t="s">
        <v>3489</v>
      </c>
      <c r="G190" s="148" t="s">
        <v>3490</v>
      </c>
      <c r="H190" s="148" t="s">
        <v>3491</v>
      </c>
      <c r="I190" s="148" t="s">
        <v>3492</v>
      </c>
      <c r="J190" s="148" t="s">
        <v>3493</v>
      </c>
      <c r="K190" s="224" t="s">
        <v>3494</v>
      </c>
      <c r="L190" s="230" t="s">
        <v>3495</v>
      </c>
      <c r="M190" s="148" t="s">
        <v>3496</v>
      </c>
    </row>
    <row r="191" spans="1:13" ht="28.5">
      <c r="A191" s="148" t="str">
        <f t="shared" si="12"/>
        <v>DeclarationB96</v>
      </c>
      <c r="B191" s="148" t="s">
        <v>2979</v>
      </c>
      <c r="C191" s="148" t="s">
        <v>3497</v>
      </c>
      <c r="D191" s="148" t="s">
        <v>117</v>
      </c>
      <c r="E191" s="206" t="s">
        <v>3498</v>
      </c>
      <c r="F191" s="148" t="s">
        <v>3499</v>
      </c>
      <c r="G191" s="148" t="s">
        <v>3500</v>
      </c>
      <c r="H191" s="148" t="s">
        <v>3501</v>
      </c>
      <c r="I191" s="148" t="s">
        <v>3502</v>
      </c>
      <c r="J191" s="148" t="s">
        <v>3503</v>
      </c>
      <c r="K191" s="224" t="s">
        <v>3504</v>
      </c>
      <c r="L191" s="230" t="s">
        <v>3505</v>
      </c>
      <c r="M191" s="148" t="s">
        <v>3506</v>
      </c>
    </row>
    <row r="192" spans="1:13" ht="28.5">
      <c r="A192" s="148" t="str">
        <f t="shared" si="12"/>
        <v>DeclarationB97</v>
      </c>
      <c r="B192" s="148" t="s">
        <v>2979</v>
      </c>
      <c r="C192" s="148" t="s">
        <v>3507</v>
      </c>
      <c r="D192" s="148" t="s">
        <v>118</v>
      </c>
      <c r="E192" s="206" t="s">
        <v>3508</v>
      </c>
      <c r="F192" s="148" t="s">
        <v>3509</v>
      </c>
      <c r="G192" s="148" t="s">
        <v>3510</v>
      </c>
      <c r="H192" s="148" t="s">
        <v>118</v>
      </c>
      <c r="I192" s="148" t="s">
        <v>3511</v>
      </c>
      <c r="J192" s="148" t="s">
        <v>3512</v>
      </c>
      <c r="K192" s="224" t="s">
        <v>118</v>
      </c>
      <c r="L192" s="230" t="s">
        <v>3513</v>
      </c>
      <c r="M192" s="148" t="s">
        <v>3514</v>
      </c>
    </row>
    <row r="193" spans="1:13" ht="28.5">
      <c r="A193" s="148" t="str">
        <f t="shared" si="12"/>
        <v>DeclarationB98</v>
      </c>
      <c r="B193" s="148" t="s">
        <v>2979</v>
      </c>
      <c r="C193" s="148" t="s">
        <v>3515</v>
      </c>
      <c r="D193" s="148" t="s">
        <v>119</v>
      </c>
      <c r="E193" s="225" t="s">
        <v>3516</v>
      </c>
      <c r="F193" s="148" t="s">
        <v>3517</v>
      </c>
      <c r="G193" s="148" t="s">
        <v>3518</v>
      </c>
      <c r="H193" s="148" t="s">
        <v>3519</v>
      </c>
      <c r="I193" s="148" t="s">
        <v>3520</v>
      </c>
      <c r="J193" s="148" t="s">
        <v>3521</v>
      </c>
      <c r="K193" s="224" t="s">
        <v>3522</v>
      </c>
      <c r="L193" s="230" t="s">
        <v>3523</v>
      </c>
      <c r="M193" s="148" t="s">
        <v>3524</v>
      </c>
    </row>
    <row r="194" spans="1:13" ht="28.5">
      <c r="A194" s="148" t="str">
        <f t="shared" si="12"/>
        <v>DeclarationB99</v>
      </c>
      <c r="B194" s="148" t="s">
        <v>2979</v>
      </c>
      <c r="C194" s="148" t="s">
        <v>3525</v>
      </c>
      <c r="D194" s="205">
        <v>1</v>
      </c>
      <c r="E194" s="208">
        <v>1</v>
      </c>
      <c r="F194" s="205">
        <v>1</v>
      </c>
      <c r="G194" s="205">
        <v>1</v>
      </c>
      <c r="H194" s="205" t="s">
        <v>3526</v>
      </c>
      <c r="I194" s="197">
        <v>1</v>
      </c>
      <c r="J194" s="197">
        <v>1</v>
      </c>
      <c r="K194" s="204">
        <v>1</v>
      </c>
      <c r="L194" s="236">
        <v>1</v>
      </c>
      <c r="M194" s="197" t="s">
        <v>3527</v>
      </c>
    </row>
    <row r="195" spans="1:13" ht="28.5">
      <c r="A195" s="148" t="str">
        <f t="shared" si="12"/>
        <v>DeclarationB100</v>
      </c>
      <c r="B195" s="148" t="s">
        <v>2979</v>
      </c>
      <c r="C195" s="148" t="s">
        <v>3528</v>
      </c>
      <c r="D195" s="198" t="s">
        <v>120</v>
      </c>
      <c r="E195" s="225" t="s">
        <v>3529</v>
      </c>
      <c r="F195" s="257" t="s">
        <v>3530</v>
      </c>
      <c r="G195" s="237" t="s">
        <v>3531</v>
      </c>
      <c r="H195" s="238" t="s">
        <v>3532</v>
      </c>
      <c r="I195" s="237" t="s">
        <v>3533</v>
      </c>
      <c r="J195" s="237" t="s">
        <v>3534</v>
      </c>
      <c r="K195" s="239" t="s">
        <v>3535</v>
      </c>
      <c r="L195" s="238" t="s">
        <v>3536</v>
      </c>
      <c r="M195" s="238" t="s">
        <v>3537</v>
      </c>
    </row>
    <row r="196" spans="1:13" ht="28.5">
      <c r="A196" s="148" t="str">
        <f t="shared" si="12"/>
        <v>DeclarationB101</v>
      </c>
      <c r="B196" s="148" t="s">
        <v>2979</v>
      </c>
      <c r="C196" s="148" t="s">
        <v>3538</v>
      </c>
      <c r="D196" s="198" t="s">
        <v>121</v>
      </c>
      <c r="E196" s="225" t="s">
        <v>3539</v>
      </c>
      <c r="F196" s="257" t="s">
        <v>3540</v>
      </c>
      <c r="G196" s="237" t="s">
        <v>3541</v>
      </c>
      <c r="H196" s="238" t="s">
        <v>3542</v>
      </c>
      <c r="I196" s="237" t="s">
        <v>3543</v>
      </c>
      <c r="J196" s="237" t="s">
        <v>3544</v>
      </c>
      <c r="K196" s="239" t="s">
        <v>3545</v>
      </c>
      <c r="L196" s="240" t="s">
        <v>3546</v>
      </c>
      <c r="M196" s="237" t="s">
        <v>3547</v>
      </c>
    </row>
    <row r="197" spans="1:13" ht="28.5">
      <c r="A197" s="148" t="str">
        <f t="shared" si="12"/>
        <v>DeclarationB102</v>
      </c>
      <c r="B197" s="148" t="s">
        <v>2979</v>
      </c>
      <c r="C197" s="148" t="s">
        <v>3548</v>
      </c>
      <c r="D197" s="198" t="s">
        <v>122</v>
      </c>
      <c r="E197" s="225" t="s">
        <v>3549</v>
      </c>
      <c r="F197" s="257" t="s">
        <v>3550</v>
      </c>
      <c r="G197" s="237" t="s">
        <v>3551</v>
      </c>
      <c r="H197" s="238" t="s">
        <v>3552</v>
      </c>
      <c r="I197" s="237" t="s">
        <v>3553</v>
      </c>
      <c r="J197" s="237" t="s">
        <v>3554</v>
      </c>
      <c r="K197" s="239" t="s">
        <v>3555</v>
      </c>
      <c r="L197" s="240" t="s">
        <v>3556</v>
      </c>
      <c r="M197" s="237" t="s">
        <v>3557</v>
      </c>
    </row>
    <row r="198" spans="1:13" ht="28.5">
      <c r="A198" s="148" t="str">
        <f t="shared" si="12"/>
        <v>DeclarationB103</v>
      </c>
      <c r="B198" s="148" t="s">
        <v>2979</v>
      </c>
      <c r="C198" s="148" t="s">
        <v>3558</v>
      </c>
      <c r="D198" s="198" t="s">
        <v>123</v>
      </c>
      <c r="E198" s="225" t="s">
        <v>3559</v>
      </c>
      <c r="F198" s="257" t="s">
        <v>3560</v>
      </c>
      <c r="G198" s="237" t="s">
        <v>3561</v>
      </c>
      <c r="H198" s="237" t="s">
        <v>3562</v>
      </c>
      <c r="I198" s="237" t="s">
        <v>3563</v>
      </c>
      <c r="J198" s="237" t="s">
        <v>3564</v>
      </c>
      <c r="K198" s="239" t="s">
        <v>3565</v>
      </c>
      <c r="L198" s="240" t="s">
        <v>3566</v>
      </c>
      <c r="M198" s="237" t="s">
        <v>3567</v>
      </c>
    </row>
    <row r="199" spans="1:13" ht="28.5">
      <c r="A199" s="148" t="str">
        <f t="shared" si="12"/>
        <v>DeclarationB104</v>
      </c>
      <c r="B199" s="148" t="s">
        <v>2979</v>
      </c>
      <c r="C199" s="148" t="s">
        <v>3568</v>
      </c>
      <c r="D199" s="148" t="s">
        <v>124</v>
      </c>
      <c r="E199" s="206" t="s">
        <v>3569</v>
      </c>
      <c r="F199" s="148" t="s">
        <v>3570</v>
      </c>
      <c r="G199" s="148" t="s">
        <v>3571</v>
      </c>
      <c r="H199" s="148" t="s">
        <v>3572</v>
      </c>
      <c r="I199" s="148" t="s">
        <v>3573</v>
      </c>
      <c r="J199" s="148" t="s">
        <v>3574</v>
      </c>
      <c r="K199" s="224" t="s">
        <v>3575</v>
      </c>
      <c r="L199" s="230" t="s">
        <v>3576</v>
      </c>
      <c r="M199" s="148" t="s">
        <v>3577</v>
      </c>
    </row>
    <row r="200" spans="1:13" ht="28.5">
      <c r="A200" s="148" t="str">
        <f t="shared" si="12"/>
        <v>DeclarationB105</v>
      </c>
      <c r="B200" s="148" t="s">
        <v>2979</v>
      </c>
      <c r="C200" s="148" t="s">
        <v>3578</v>
      </c>
      <c r="D200" s="199" t="s">
        <v>3579</v>
      </c>
      <c r="E200" s="207" t="s">
        <v>3580</v>
      </c>
      <c r="F200" s="256" t="s">
        <v>3581</v>
      </c>
      <c r="G200" s="232" t="s">
        <v>3582</v>
      </c>
      <c r="H200" s="232" t="s">
        <v>3583</v>
      </c>
      <c r="I200" s="232" t="s">
        <v>3584</v>
      </c>
      <c r="J200" s="232" t="s">
        <v>3585</v>
      </c>
      <c r="K200" s="233" t="s">
        <v>3586</v>
      </c>
      <c r="L200" s="226" t="s">
        <v>3587</v>
      </c>
      <c r="M200" s="232" t="s">
        <v>3588</v>
      </c>
    </row>
    <row r="201" spans="1:13" ht="30">
      <c r="A201" s="148" t="str">
        <f t="shared" si="12"/>
        <v>DeclarationB106</v>
      </c>
      <c r="B201" s="148" t="s">
        <v>2979</v>
      </c>
      <c r="C201" s="148" t="s">
        <v>3589</v>
      </c>
      <c r="D201" s="199" t="s">
        <v>126</v>
      </c>
      <c r="E201" s="207" t="s">
        <v>3590</v>
      </c>
      <c r="F201" s="256" t="s">
        <v>3591</v>
      </c>
      <c r="G201" s="232" t="s">
        <v>3592</v>
      </c>
      <c r="H201" s="232" t="s">
        <v>3593</v>
      </c>
      <c r="I201" s="232" t="s">
        <v>3594</v>
      </c>
      <c r="J201" s="232" t="s">
        <v>3595</v>
      </c>
      <c r="K201" s="233" t="s">
        <v>3596</v>
      </c>
      <c r="L201" s="226" t="s">
        <v>3597</v>
      </c>
      <c r="M201" s="232" t="s">
        <v>3598</v>
      </c>
    </row>
    <row r="202" spans="1:13" ht="28.5">
      <c r="A202" s="148" t="str">
        <f t="shared" si="12"/>
        <v>DeclarationB107</v>
      </c>
      <c r="B202" s="148" t="s">
        <v>2979</v>
      </c>
      <c r="C202" s="148" t="s">
        <v>3599</v>
      </c>
      <c r="D202" s="199" t="s">
        <v>118</v>
      </c>
      <c r="E202" s="207" t="s">
        <v>3508</v>
      </c>
      <c r="F202" s="256" t="s">
        <v>3600</v>
      </c>
      <c r="G202" s="232" t="s">
        <v>3601</v>
      </c>
      <c r="H202" s="232" t="s">
        <v>3602</v>
      </c>
      <c r="I202" s="232" t="s">
        <v>3603</v>
      </c>
      <c r="J202" s="232" t="s">
        <v>3604</v>
      </c>
      <c r="K202" s="233" t="s">
        <v>3601</v>
      </c>
      <c r="L202" s="241" t="s">
        <v>3605</v>
      </c>
      <c r="M202" s="232" t="s">
        <v>3606</v>
      </c>
    </row>
    <row r="203" spans="1:13" ht="28.5">
      <c r="A203" s="148" t="str">
        <f t="shared" si="12"/>
        <v>DeclarationB108</v>
      </c>
      <c r="B203" s="148" t="s">
        <v>2979</v>
      </c>
      <c r="C203" s="148" t="s">
        <v>3607</v>
      </c>
      <c r="D203" s="199" t="s">
        <v>127</v>
      </c>
      <c r="E203" s="199" t="s">
        <v>3608</v>
      </c>
      <c r="F203" s="199" t="s">
        <v>3609</v>
      </c>
      <c r="G203" s="199" t="s">
        <v>3610</v>
      </c>
      <c r="H203" s="199" t="s">
        <v>3611</v>
      </c>
      <c r="I203" s="199" t="s">
        <v>3612</v>
      </c>
      <c r="J203" s="199" t="s">
        <v>3613</v>
      </c>
      <c r="K203" s="199" t="s">
        <v>3614</v>
      </c>
      <c r="L203" s="199" t="s">
        <v>3615</v>
      </c>
      <c r="M203" s="199" t="s">
        <v>3616</v>
      </c>
    </row>
    <row r="204" spans="1:13" ht="28.5">
      <c r="A204" s="148" t="str">
        <f t="shared" si="12"/>
        <v>DeclarationB109</v>
      </c>
      <c r="B204" s="148" t="s">
        <v>2979</v>
      </c>
      <c r="C204" s="148" t="s">
        <v>3617</v>
      </c>
      <c r="D204" s="199" t="s">
        <v>128</v>
      </c>
      <c r="E204" s="199" t="s">
        <v>3618</v>
      </c>
      <c r="F204" s="199" t="s">
        <v>3619</v>
      </c>
      <c r="G204" s="199" t="s">
        <v>3620</v>
      </c>
      <c r="H204" s="199" t="s">
        <v>3621</v>
      </c>
      <c r="I204" s="199" t="s">
        <v>3622</v>
      </c>
      <c r="J204" s="199" t="s">
        <v>3623</v>
      </c>
      <c r="K204" s="199" t="s">
        <v>3624</v>
      </c>
      <c r="L204" s="199" t="s">
        <v>3625</v>
      </c>
      <c r="M204" s="199" t="s">
        <v>3626</v>
      </c>
    </row>
    <row r="205" spans="1:13" ht="28.5">
      <c r="A205" s="148" t="str">
        <f t="shared" si="12"/>
        <v>DeclarationB110</v>
      </c>
      <c r="B205" s="148" t="s">
        <v>2979</v>
      </c>
      <c r="C205" s="148" t="s">
        <v>3627</v>
      </c>
      <c r="D205" s="199" t="s">
        <v>129</v>
      </c>
      <c r="E205" s="199" t="s">
        <v>3628</v>
      </c>
      <c r="F205" s="199" t="s">
        <v>3629</v>
      </c>
      <c r="G205" s="199" t="s">
        <v>3630</v>
      </c>
      <c r="H205" s="199" t="s">
        <v>3631</v>
      </c>
      <c r="I205" s="199" t="s">
        <v>3632</v>
      </c>
      <c r="J205" s="199" t="s">
        <v>3633</v>
      </c>
      <c r="K205" s="199" t="s">
        <v>3634</v>
      </c>
      <c r="L205" s="199" t="s">
        <v>3635</v>
      </c>
      <c r="M205" s="199" t="s">
        <v>3636</v>
      </c>
    </row>
    <row r="206" spans="1:13" ht="28.5">
      <c r="A206" s="148" t="str">
        <f t="shared" ref="A206" si="13">B206&amp;C206</f>
        <v>DeclarationB111</v>
      </c>
      <c r="B206" s="148" t="s">
        <v>2979</v>
      </c>
      <c r="C206" s="148" t="s">
        <v>3637</v>
      </c>
      <c r="D206" s="199" t="s">
        <v>118</v>
      </c>
      <c r="E206" s="207" t="s">
        <v>3508</v>
      </c>
      <c r="F206" s="256" t="s">
        <v>3600</v>
      </c>
      <c r="G206" s="232" t="s">
        <v>3601</v>
      </c>
      <c r="H206" s="232" t="s">
        <v>3602</v>
      </c>
      <c r="I206" s="232" t="s">
        <v>3603</v>
      </c>
      <c r="J206" s="232" t="s">
        <v>3604</v>
      </c>
      <c r="K206" s="233" t="s">
        <v>3601</v>
      </c>
      <c r="L206" s="241" t="s">
        <v>3605</v>
      </c>
      <c r="M206" s="232" t="s">
        <v>3606</v>
      </c>
    </row>
    <row r="207" spans="1:13" ht="409.5" customHeight="1">
      <c r="A207" s="148" t="str">
        <f t="shared" ref="A207" si="14">B207&amp;C207</f>
        <v>Smelter Look-upA1</v>
      </c>
      <c r="B207" s="148" t="s">
        <v>3638</v>
      </c>
      <c r="C207" s="148" t="s">
        <v>1609</v>
      </c>
      <c r="D207" s="106" t="s">
        <v>3639</v>
      </c>
      <c r="E207" s="251" t="s">
        <v>3640</v>
      </c>
      <c r="F207" s="256" t="s">
        <v>3641</v>
      </c>
      <c r="G207" s="232" t="s">
        <v>3642</v>
      </c>
      <c r="H207" s="232" t="s">
        <v>3643</v>
      </c>
      <c r="I207" s="232" t="s">
        <v>3644</v>
      </c>
      <c r="J207" s="232" t="s">
        <v>3645</v>
      </c>
      <c r="K207" s="233" t="s">
        <v>3646</v>
      </c>
      <c r="L207" s="242" t="s">
        <v>3647</v>
      </c>
      <c r="M207" s="232" t="s">
        <v>3648</v>
      </c>
    </row>
    <row r="208" spans="1:13" ht="28.5">
      <c r="A208" s="148" t="str">
        <f t="shared" ref="A208:A217" si="15">B208&amp;C208</f>
        <v>Smelter Look-upA4</v>
      </c>
      <c r="B208" s="148" t="s">
        <v>3638</v>
      </c>
      <c r="C208" s="148" t="s">
        <v>1641</v>
      </c>
      <c r="D208" s="148" t="s">
        <v>3649</v>
      </c>
      <c r="E208" s="207" t="s">
        <v>3650</v>
      </c>
      <c r="F208" s="148" t="s">
        <v>3650</v>
      </c>
      <c r="G208" s="148" t="s">
        <v>3651</v>
      </c>
      <c r="H208" s="148" t="s">
        <v>3652</v>
      </c>
      <c r="I208" s="148" t="s">
        <v>3649</v>
      </c>
      <c r="J208" s="166" t="s">
        <v>3653</v>
      </c>
      <c r="K208" s="224" t="s">
        <v>3649</v>
      </c>
      <c r="L208" s="230" t="s">
        <v>3654</v>
      </c>
      <c r="M208" s="148" t="s">
        <v>3649</v>
      </c>
    </row>
    <row r="209" spans="1:13" ht="28.5">
      <c r="A209" s="148" t="str">
        <f t="shared" si="15"/>
        <v>Smelter Look-upB4</v>
      </c>
      <c r="B209" s="148" t="s">
        <v>3638</v>
      </c>
      <c r="C209" s="148" t="s">
        <v>2388</v>
      </c>
      <c r="D209" s="148" t="s">
        <v>3655</v>
      </c>
      <c r="E209" s="207" t="s">
        <v>3656</v>
      </c>
      <c r="F209" s="256" t="s">
        <v>3657</v>
      </c>
      <c r="G209" s="232" t="s">
        <v>3658</v>
      </c>
      <c r="H209" s="232" t="s">
        <v>3659</v>
      </c>
      <c r="I209" s="232" t="s">
        <v>3660</v>
      </c>
      <c r="J209" s="226" t="s">
        <v>3661</v>
      </c>
      <c r="K209" s="233" t="s">
        <v>3662</v>
      </c>
      <c r="L209" s="226" t="s">
        <v>3663</v>
      </c>
      <c r="M209" s="232" t="s">
        <v>3664</v>
      </c>
    </row>
    <row r="210" spans="1:13" ht="28.5">
      <c r="A210" s="148" t="str">
        <f t="shared" si="15"/>
        <v>Smelter Look-up</v>
      </c>
      <c r="B210" s="148" t="s">
        <v>3638</v>
      </c>
      <c r="D210" s="148" t="s">
        <v>3665</v>
      </c>
      <c r="E210" s="207" t="s">
        <v>3666</v>
      </c>
      <c r="F210" s="148" t="s">
        <v>3667</v>
      </c>
      <c r="G210" s="148" t="s">
        <v>3668</v>
      </c>
      <c r="H210" s="148" t="s">
        <v>3669</v>
      </c>
      <c r="I210" s="148" t="s">
        <v>3670</v>
      </c>
      <c r="J210" s="166" t="s">
        <v>3671</v>
      </c>
      <c r="K210" s="224" t="s">
        <v>3672</v>
      </c>
      <c r="L210" s="230" t="s">
        <v>3673</v>
      </c>
      <c r="M210" s="148" t="s">
        <v>3674</v>
      </c>
    </row>
    <row r="211" spans="1:13" ht="28.5">
      <c r="A211" s="148" t="str">
        <f t="shared" si="15"/>
        <v>Smelter Look-upC4</v>
      </c>
      <c r="B211" s="148" t="s">
        <v>3638</v>
      </c>
      <c r="C211" s="148" t="s">
        <v>2699</v>
      </c>
      <c r="D211" s="148" t="s">
        <v>3675</v>
      </c>
      <c r="E211" s="225" t="s">
        <v>3676</v>
      </c>
      <c r="F211" s="148" t="s">
        <v>3677</v>
      </c>
      <c r="G211" s="148" t="s">
        <v>3678</v>
      </c>
      <c r="H211" s="148" t="s">
        <v>3679</v>
      </c>
      <c r="I211" s="148" t="s">
        <v>3680</v>
      </c>
      <c r="J211" s="166" t="s">
        <v>3681</v>
      </c>
      <c r="K211" s="224" t="s">
        <v>3682</v>
      </c>
      <c r="L211" s="230" t="s">
        <v>3683</v>
      </c>
      <c r="M211" s="148" t="s">
        <v>3684</v>
      </c>
    </row>
    <row r="212" spans="1:13" ht="28.5">
      <c r="A212" s="148" t="str">
        <f t="shared" si="15"/>
        <v>Smelter Look-upD4</v>
      </c>
      <c r="B212" s="148" t="s">
        <v>3638</v>
      </c>
      <c r="C212" s="148" t="s">
        <v>3685</v>
      </c>
      <c r="D212" s="148" t="s">
        <v>3686</v>
      </c>
      <c r="E212" s="227" t="s">
        <v>3687</v>
      </c>
      <c r="F212" s="148" t="s">
        <v>3688</v>
      </c>
      <c r="G212" s="148" t="s">
        <v>3689</v>
      </c>
      <c r="H212" s="148" t="s">
        <v>3690</v>
      </c>
      <c r="I212" s="148" t="s">
        <v>3691</v>
      </c>
      <c r="J212" s="166" t="s">
        <v>3692</v>
      </c>
      <c r="K212" s="224" t="s">
        <v>3693</v>
      </c>
      <c r="L212" s="230" t="s">
        <v>3694</v>
      </c>
      <c r="M212" s="148" t="s">
        <v>3695</v>
      </c>
    </row>
    <row r="213" spans="1:13" ht="28.5">
      <c r="A213" s="148" t="str">
        <f t="shared" si="15"/>
        <v>Smelter Look-upE4</v>
      </c>
      <c r="B213" s="148" t="s">
        <v>3638</v>
      </c>
      <c r="C213" s="148" t="s">
        <v>3696</v>
      </c>
      <c r="D213" s="148" t="s">
        <v>3697</v>
      </c>
      <c r="E213" s="207" t="s">
        <v>3698</v>
      </c>
      <c r="F213" s="256" t="s">
        <v>3699</v>
      </c>
      <c r="G213" s="232" t="s">
        <v>3700</v>
      </c>
      <c r="H213" s="232" t="s">
        <v>3701</v>
      </c>
      <c r="I213" s="232" t="s">
        <v>3702</v>
      </c>
      <c r="J213" s="226" t="s">
        <v>3703</v>
      </c>
      <c r="K213" s="233" t="s">
        <v>3704</v>
      </c>
      <c r="L213" s="226" t="s">
        <v>3705</v>
      </c>
      <c r="M213" s="232" t="s">
        <v>3706</v>
      </c>
    </row>
    <row r="214" spans="1:13" ht="28.5">
      <c r="A214" s="148" t="str">
        <f t="shared" si="15"/>
        <v>Smelter Look-upF4</v>
      </c>
      <c r="B214" s="148" t="s">
        <v>3638</v>
      </c>
      <c r="C214" s="148" t="s">
        <v>3707</v>
      </c>
      <c r="D214" s="148" t="s">
        <v>3708</v>
      </c>
      <c r="E214" s="206" t="s">
        <v>3709</v>
      </c>
      <c r="F214" s="148" t="s">
        <v>3710</v>
      </c>
      <c r="G214" s="148" t="s">
        <v>3711</v>
      </c>
      <c r="H214" s="148" t="s">
        <v>3712</v>
      </c>
      <c r="I214" s="148" t="s">
        <v>3713</v>
      </c>
      <c r="J214" s="166" t="s">
        <v>3714</v>
      </c>
      <c r="K214" s="224" t="s">
        <v>3715</v>
      </c>
      <c r="L214" s="230" t="s">
        <v>3716</v>
      </c>
      <c r="M214" s="148" t="s">
        <v>3717</v>
      </c>
    </row>
    <row r="215" spans="1:13" ht="28.5" customHeight="1">
      <c r="A215" s="148" t="str">
        <f t="shared" si="15"/>
        <v>Smelter Look-upG4</v>
      </c>
      <c r="B215" s="148" t="s">
        <v>3638</v>
      </c>
      <c r="C215" s="148" t="s">
        <v>3718</v>
      </c>
      <c r="D215" s="148" t="s">
        <v>3719</v>
      </c>
      <c r="E215" s="206" t="s">
        <v>3720</v>
      </c>
      <c r="F215" s="148" t="s">
        <v>3721</v>
      </c>
      <c r="G215" s="148" t="s">
        <v>3722</v>
      </c>
      <c r="H215" s="148" t="s">
        <v>3723</v>
      </c>
      <c r="I215" s="148" t="s">
        <v>3724</v>
      </c>
      <c r="J215" s="166" t="s">
        <v>3725</v>
      </c>
      <c r="K215" s="224" t="s">
        <v>3726</v>
      </c>
      <c r="L215" s="230" t="s">
        <v>3727</v>
      </c>
      <c r="M215" s="148" t="s">
        <v>3728</v>
      </c>
    </row>
    <row r="216" spans="1:13" ht="28.5" customHeight="1">
      <c r="A216" s="148" t="str">
        <f t="shared" si="15"/>
        <v>Smelter Look-upH4</v>
      </c>
      <c r="B216" s="148" t="s">
        <v>3638</v>
      </c>
      <c r="C216" s="148" t="s">
        <v>3729</v>
      </c>
      <c r="D216" s="148" t="s">
        <v>3730</v>
      </c>
      <c r="E216" s="206" t="s">
        <v>3731</v>
      </c>
      <c r="F216" s="148" t="s">
        <v>3732</v>
      </c>
      <c r="G216" s="148" t="s">
        <v>3733</v>
      </c>
      <c r="H216" s="148" t="s">
        <v>3734</v>
      </c>
      <c r="I216" s="148" t="s">
        <v>3735</v>
      </c>
      <c r="J216" s="166" t="s">
        <v>3736</v>
      </c>
      <c r="K216" s="224" t="s">
        <v>3737</v>
      </c>
      <c r="L216" s="230" t="s">
        <v>3738</v>
      </c>
      <c r="M216" s="148" t="s">
        <v>3739</v>
      </c>
    </row>
    <row r="217" spans="1:13" ht="28.5" customHeight="1">
      <c r="A217" s="148" t="str">
        <f t="shared" si="15"/>
        <v>Smelter Look-upI4</v>
      </c>
      <c r="B217" s="148" t="s">
        <v>3638</v>
      </c>
      <c r="C217" s="148" t="s">
        <v>3004</v>
      </c>
      <c r="D217" s="148" t="s">
        <v>3740</v>
      </c>
      <c r="E217" s="206" t="s">
        <v>3741</v>
      </c>
      <c r="F217" s="148" t="s">
        <v>3742</v>
      </c>
      <c r="G217" s="148" t="s">
        <v>3743</v>
      </c>
      <c r="H217" s="148" t="s">
        <v>3744</v>
      </c>
      <c r="I217" s="148" t="s">
        <v>3745</v>
      </c>
      <c r="J217" s="166" t="s">
        <v>3746</v>
      </c>
      <c r="K217" s="224" t="s">
        <v>3747</v>
      </c>
      <c r="L217" s="230" t="s">
        <v>3748</v>
      </c>
      <c r="M217" s="148" t="s">
        <v>3749</v>
      </c>
    </row>
    <row r="218" spans="1:13" ht="28.5" customHeight="1">
      <c r="A218" s="148" t="s">
        <v>3750</v>
      </c>
      <c r="B218" s="148" t="s">
        <v>3751</v>
      </c>
      <c r="C218" s="148" t="s">
        <v>1641</v>
      </c>
      <c r="D218" s="148" t="s">
        <v>3752</v>
      </c>
      <c r="E218" s="206" t="s">
        <v>3753</v>
      </c>
      <c r="F218" s="148" t="s">
        <v>3754</v>
      </c>
      <c r="G218" s="148" t="s">
        <v>3755</v>
      </c>
      <c r="H218" s="148" t="s">
        <v>3756</v>
      </c>
      <c r="I218" s="148" t="s">
        <v>3757</v>
      </c>
      <c r="J218" s="166" t="s">
        <v>3758</v>
      </c>
      <c r="K218" s="224" t="s">
        <v>3759</v>
      </c>
      <c r="L218" s="230" t="s">
        <v>3760</v>
      </c>
      <c r="M218" s="148" t="s">
        <v>3761</v>
      </c>
    </row>
    <row r="219" spans="1:13" ht="28.5" customHeight="1">
      <c r="A219" s="148" t="str">
        <f t="shared" ref="A219:A246" si="16">B219&amp;C219</f>
        <v>Smelter ListB4</v>
      </c>
      <c r="B219" s="148" t="s">
        <v>3751</v>
      </c>
      <c r="C219" s="148" t="s">
        <v>2388</v>
      </c>
      <c r="D219" s="148" t="s">
        <v>3762</v>
      </c>
      <c r="E219" s="206" t="s">
        <v>3763</v>
      </c>
      <c r="F219" s="148" t="s">
        <v>3763</v>
      </c>
      <c r="G219" s="148" t="s">
        <v>3764</v>
      </c>
      <c r="H219" s="148" t="s">
        <v>3765</v>
      </c>
      <c r="I219" s="148" t="s">
        <v>3762</v>
      </c>
      <c r="J219" s="166" t="s">
        <v>3766</v>
      </c>
      <c r="K219" s="224" t="s">
        <v>3762</v>
      </c>
      <c r="L219" s="230" t="s">
        <v>3767</v>
      </c>
      <c r="M219" s="148" t="s">
        <v>3768</v>
      </c>
    </row>
    <row r="220" spans="1:13" ht="28.5" customHeight="1">
      <c r="A220" s="148" t="str">
        <f t="shared" si="16"/>
        <v>Smelter ListC4</v>
      </c>
      <c r="B220" s="148" t="s">
        <v>3751</v>
      </c>
      <c r="C220" s="148" t="s">
        <v>2699</v>
      </c>
      <c r="D220" s="148" t="s">
        <v>3655</v>
      </c>
      <c r="E220" s="207" t="s">
        <v>3656</v>
      </c>
      <c r="F220" s="256" t="s">
        <v>3657</v>
      </c>
      <c r="G220" s="232" t="s">
        <v>3658</v>
      </c>
      <c r="H220" s="232" t="s">
        <v>3659</v>
      </c>
      <c r="I220" s="232" t="s">
        <v>3660</v>
      </c>
      <c r="J220" s="226" t="s">
        <v>3661</v>
      </c>
      <c r="K220" s="233" t="s">
        <v>3662</v>
      </c>
      <c r="L220" s="226" t="s">
        <v>3663</v>
      </c>
      <c r="M220" s="232" t="s">
        <v>3664</v>
      </c>
    </row>
    <row r="221" spans="1:13" ht="44.25" customHeight="1">
      <c r="A221" s="148" t="str">
        <f t="shared" si="16"/>
        <v>Smelter ListD4</v>
      </c>
      <c r="B221" s="148" t="s">
        <v>3751</v>
      </c>
      <c r="C221" s="148" t="s">
        <v>3685</v>
      </c>
      <c r="D221" s="232" t="s">
        <v>3769</v>
      </c>
      <c r="E221" s="207" t="s">
        <v>3770</v>
      </c>
      <c r="F221" s="256" t="s">
        <v>3771</v>
      </c>
      <c r="G221" s="226" t="s">
        <v>3772</v>
      </c>
      <c r="H221" s="226" t="s">
        <v>3773</v>
      </c>
      <c r="I221" s="226" t="s">
        <v>3774</v>
      </c>
      <c r="J221" s="226" t="s">
        <v>3775</v>
      </c>
      <c r="K221" s="233" t="s">
        <v>3776</v>
      </c>
      <c r="L221" s="226" t="s">
        <v>3777</v>
      </c>
      <c r="M221" s="226" t="s">
        <v>3778</v>
      </c>
    </row>
    <row r="222" spans="1:13" ht="14.25" customHeight="1">
      <c r="A222" s="148" t="str">
        <f t="shared" si="16"/>
        <v>Smelter ListE4</v>
      </c>
      <c r="B222" s="148" t="s">
        <v>3751</v>
      </c>
      <c r="C222" s="148" t="s">
        <v>3696</v>
      </c>
      <c r="D222" s="148" t="s">
        <v>3779</v>
      </c>
      <c r="E222" s="206" t="s">
        <v>3780</v>
      </c>
      <c r="F222" s="148" t="s">
        <v>3781</v>
      </c>
      <c r="G222" s="148" t="s">
        <v>3782</v>
      </c>
      <c r="H222" s="148" t="s">
        <v>3783</v>
      </c>
      <c r="I222" s="148" t="s">
        <v>3784</v>
      </c>
      <c r="J222" s="166" t="s">
        <v>3785</v>
      </c>
      <c r="K222" s="224" t="s">
        <v>3786</v>
      </c>
      <c r="L222" s="230" t="s">
        <v>3787</v>
      </c>
      <c r="M222" s="148" t="s">
        <v>3788</v>
      </c>
    </row>
    <row r="223" spans="1:13" ht="28.5" customHeight="1">
      <c r="A223" s="148" t="str">
        <f t="shared" si="16"/>
        <v>Smelter ListH4</v>
      </c>
      <c r="B223" s="148" t="s">
        <v>3751</v>
      </c>
      <c r="C223" s="148" t="s">
        <v>3729</v>
      </c>
      <c r="D223" s="148" t="s">
        <v>3719</v>
      </c>
      <c r="E223" s="206" t="s">
        <v>3720</v>
      </c>
      <c r="F223" s="148" t="s">
        <v>3721</v>
      </c>
      <c r="G223" s="148" t="s">
        <v>3722</v>
      </c>
      <c r="H223" s="148" t="s">
        <v>3723</v>
      </c>
      <c r="I223" s="148" t="s">
        <v>3724</v>
      </c>
      <c r="J223" s="166" t="s">
        <v>3725</v>
      </c>
      <c r="K223" s="224" t="s">
        <v>3726</v>
      </c>
      <c r="L223" s="230" t="s">
        <v>3727</v>
      </c>
      <c r="M223" s="148" t="s">
        <v>3728</v>
      </c>
    </row>
    <row r="224" spans="1:13" ht="14.25" customHeight="1">
      <c r="A224" s="148" t="str">
        <f t="shared" si="16"/>
        <v>Smelter ListI4</v>
      </c>
      <c r="B224" s="148" t="s">
        <v>3751</v>
      </c>
      <c r="C224" s="148" t="s">
        <v>3004</v>
      </c>
      <c r="D224" s="148" t="s">
        <v>3730</v>
      </c>
      <c r="E224" s="225" t="s">
        <v>3731</v>
      </c>
      <c r="F224" s="148" t="s">
        <v>3732</v>
      </c>
      <c r="G224" s="148" t="s">
        <v>3733</v>
      </c>
      <c r="H224" s="148" t="s">
        <v>3734</v>
      </c>
      <c r="I224" s="148" t="s">
        <v>3735</v>
      </c>
      <c r="J224" s="166" t="s">
        <v>3736</v>
      </c>
      <c r="K224" s="224" t="s">
        <v>3737</v>
      </c>
      <c r="L224" s="230" t="s">
        <v>3738</v>
      </c>
      <c r="M224" s="148" t="s">
        <v>3739</v>
      </c>
    </row>
    <row r="225" spans="1:13" ht="28.5">
      <c r="A225" s="148" t="str">
        <f t="shared" si="16"/>
        <v>Smelter ListJ4</v>
      </c>
      <c r="B225" s="148" t="s">
        <v>3751</v>
      </c>
      <c r="C225" s="148" t="s">
        <v>3789</v>
      </c>
      <c r="D225" s="148" t="s">
        <v>3740</v>
      </c>
      <c r="E225" s="225" t="s">
        <v>3741</v>
      </c>
      <c r="F225" s="148" t="s">
        <v>3742</v>
      </c>
      <c r="G225" s="148" t="s">
        <v>3743</v>
      </c>
      <c r="H225" s="148" t="s">
        <v>3744</v>
      </c>
      <c r="I225" s="148" t="s">
        <v>3745</v>
      </c>
      <c r="J225" s="166" t="s">
        <v>3746</v>
      </c>
      <c r="K225" s="224" t="s">
        <v>3747</v>
      </c>
      <c r="L225" s="230" t="s">
        <v>3748</v>
      </c>
      <c r="M225" s="148" t="s">
        <v>3749</v>
      </c>
    </row>
    <row r="226" spans="1:13" ht="28.5">
      <c r="A226" s="148" t="str">
        <f t="shared" si="16"/>
        <v>Smelter ListK4</v>
      </c>
      <c r="B226" s="148" t="s">
        <v>3751</v>
      </c>
      <c r="C226" s="148" t="s">
        <v>3790</v>
      </c>
      <c r="D226" s="148" t="s">
        <v>3791</v>
      </c>
      <c r="E226" s="206" t="s">
        <v>3792</v>
      </c>
      <c r="F226" s="148" t="s">
        <v>3793</v>
      </c>
      <c r="G226" s="148" t="s">
        <v>3794</v>
      </c>
      <c r="H226" s="148" t="s">
        <v>3795</v>
      </c>
      <c r="I226" s="148" t="s">
        <v>3796</v>
      </c>
      <c r="J226" s="166" t="s">
        <v>3797</v>
      </c>
      <c r="K226" s="224" t="s">
        <v>3798</v>
      </c>
      <c r="L226" s="230" t="s">
        <v>3799</v>
      </c>
      <c r="M226" s="148" t="s">
        <v>3800</v>
      </c>
    </row>
    <row r="227" spans="1:13">
      <c r="A227" s="148" t="str">
        <f t="shared" si="16"/>
        <v>Smelter ListL4</v>
      </c>
      <c r="B227" s="148" t="s">
        <v>3751</v>
      </c>
      <c r="C227" s="148" t="s">
        <v>3801</v>
      </c>
      <c r="D227" s="148" t="s">
        <v>3802</v>
      </c>
      <c r="E227" s="206" t="s">
        <v>3803</v>
      </c>
      <c r="F227" s="148" t="s">
        <v>3804</v>
      </c>
      <c r="G227" s="148" t="s">
        <v>3805</v>
      </c>
      <c r="H227" s="148" t="s">
        <v>3806</v>
      </c>
      <c r="I227" s="148" t="s">
        <v>3807</v>
      </c>
      <c r="J227" s="166" t="s">
        <v>3808</v>
      </c>
      <c r="K227" s="224" t="s">
        <v>3809</v>
      </c>
      <c r="L227" s="230" t="s">
        <v>3810</v>
      </c>
      <c r="M227" s="148" t="s">
        <v>3811</v>
      </c>
    </row>
    <row r="228" spans="1:13" ht="28.5">
      <c r="A228" s="148" t="str">
        <f t="shared" si="16"/>
        <v>Smelter ListM4</v>
      </c>
      <c r="B228" s="148" t="s">
        <v>3751</v>
      </c>
      <c r="C228" s="148" t="s">
        <v>3812</v>
      </c>
      <c r="D228" s="148" t="s">
        <v>3813</v>
      </c>
      <c r="E228" s="206" t="s">
        <v>3814</v>
      </c>
      <c r="F228" s="148" t="s">
        <v>3815</v>
      </c>
      <c r="G228" s="148" t="s">
        <v>3816</v>
      </c>
      <c r="H228" s="148" t="s">
        <v>3817</v>
      </c>
      <c r="I228" s="148" t="s">
        <v>3818</v>
      </c>
      <c r="J228" s="166" t="s">
        <v>3819</v>
      </c>
      <c r="K228" s="224" t="s">
        <v>3820</v>
      </c>
      <c r="L228" s="230" t="s">
        <v>3821</v>
      </c>
      <c r="M228" s="148" t="s">
        <v>3822</v>
      </c>
    </row>
    <row r="229" spans="1:13" ht="42.75">
      <c r="A229" s="148" t="str">
        <f t="shared" si="16"/>
        <v>Smelter ListN4</v>
      </c>
      <c r="B229" s="148" t="s">
        <v>3751</v>
      </c>
      <c r="C229" s="148" t="s">
        <v>3823</v>
      </c>
      <c r="D229" s="148" t="s">
        <v>3824</v>
      </c>
      <c r="E229" s="206" t="s">
        <v>3825</v>
      </c>
      <c r="F229" s="148" t="s">
        <v>3826</v>
      </c>
      <c r="G229" s="148" t="s">
        <v>3827</v>
      </c>
      <c r="H229" s="136" t="s">
        <v>3828</v>
      </c>
      <c r="I229" s="148" t="s">
        <v>3829</v>
      </c>
      <c r="J229" s="166" t="s">
        <v>3830</v>
      </c>
      <c r="K229" s="224" t="s">
        <v>3831</v>
      </c>
      <c r="L229" s="230" t="s">
        <v>3832</v>
      </c>
      <c r="M229" s="148" t="s">
        <v>3833</v>
      </c>
    </row>
    <row r="230" spans="1:13" ht="42.75">
      <c r="A230" s="148" t="str">
        <f t="shared" si="16"/>
        <v>Smelter ListO4</v>
      </c>
      <c r="B230" s="148" t="s">
        <v>3751</v>
      </c>
      <c r="C230" s="148" t="s">
        <v>3834</v>
      </c>
      <c r="D230" s="148" t="s">
        <v>3835</v>
      </c>
      <c r="E230" s="206" t="s">
        <v>3836</v>
      </c>
      <c r="F230" s="148" t="s">
        <v>3837</v>
      </c>
      <c r="G230" s="148" t="s">
        <v>3838</v>
      </c>
      <c r="H230" s="148" t="s">
        <v>3839</v>
      </c>
      <c r="I230" s="148" t="s">
        <v>3840</v>
      </c>
      <c r="J230" s="166" t="s">
        <v>3841</v>
      </c>
      <c r="K230" s="224" t="s">
        <v>3842</v>
      </c>
      <c r="L230" s="230" t="s">
        <v>3843</v>
      </c>
      <c r="M230" s="148" t="s">
        <v>3844</v>
      </c>
    </row>
    <row r="231" spans="1:13" ht="57">
      <c r="A231" s="148" t="str">
        <f t="shared" si="16"/>
        <v>Smelter ListP4</v>
      </c>
      <c r="B231" s="148" t="s">
        <v>3751</v>
      </c>
      <c r="C231" s="148" t="s">
        <v>3845</v>
      </c>
      <c r="D231" s="148" t="s">
        <v>3846</v>
      </c>
      <c r="E231" s="206" t="s">
        <v>3847</v>
      </c>
      <c r="F231" s="148" t="s">
        <v>3848</v>
      </c>
      <c r="G231" s="148" t="s">
        <v>3849</v>
      </c>
      <c r="H231" s="148" t="s">
        <v>3850</v>
      </c>
      <c r="I231" s="148" t="s">
        <v>3851</v>
      </c>
      <c r="J231" s="166" t="s">
        <v>3852</v>
      </c>
      <c r="K231" s="224" t="s">
        <v>3853</v>
      </c>
      <c r="L231" s="230" t="s">
        <v>3854</v>
      </c>
      <c r="M231" s="148" t="s">
        <v>3855</v>
      </c>
    </row>
    <row r="232" spans="1:13" ht="28.5">
      <c r="A232" s="148" t="str">
        <f t="shared" si="16"/>
        <v>Smelter ListQ4</v>
      </c>
      <c r="B232" s="148" t="s">
        <v>3751</v>
      </c>
      <c r="C232" s="148" t="s">
        <v>3856</v>
      </c>
      <c r="D232" s="148" t="s">
        <v>3433</v>
      </c>
      <c r="E232" s="206" t="s">
        <v>3434</v>
      </c>
      <c r="F232" s="148" t="s">
        <v>3435</v>
      </c>
      <c r="G232" s="148" t="s">
        <v>3436</v>
      </c>
      <c r="H232" s="148" t="s">
        <v>3437</v>
      </c>
      <c r="I232" s="148" t="s">
        <v>3438</v>
      </c>
      <c r="J232" s="166" t="s">
        <v>3439</v>
      </c>
      <c r="K232" s="224" t="s">
        <v>3440</v>
      </c>
      <c r="L232" s="230" t="s">
        <v>3441</v>
      </c>
      <c r="M232" s="148" t="s">
        <v>3442</v>
      </c>
    </row>
    <row r="233" spans="1:13" ht="42.75">
      <c r="A233" s="148" t="str">
        <f t="shared" si="16"/>
        <v>Smelter ListJ2</v>
      </c>
      <c r="B233" s="148" t="s">
        <v>3751</v>
      </c>
      <c r="C233" s="148" t="s">
        <v>3857</v>
      </c>
      <c r="D233" s="148" t="s">
        <v>3858</v>
      </c>
      <c r="E233" s="148" t="s">
        <v>3859</v>
      </c>
      <c r="F233" s="148" t="s">
        <v>3860</v>
      </c>
      <c r="G233" s="148" t="s">
        <v>3861</v>
      </c>
      <c r="H233" s="148" t="s">
        <v>3862</v>
      </c>
      <c r="I233" s="148" t="s">
        <v>3863</v>
      </c>
      <c r="J233" s="166" t="s">
        <v>3864</v>
      </c>
      <c r="K233" s="224" t="s">
        <v>3865</v>
      </c>
      <c r="L233" s="230" t="s">
        <v>3866</v>
      </c>
      <c r="M233" s="148" t="s">
        <v>3867</v>
      </c>
    </row>
    <row r="234" spans="1:13" ht="42.75">
      <c r="A234" s="148" t="str">
        <f t="shared" si="16"/>
        <v>Smelter ListB2</v>
      </c>
      <c r="B234" s="148" t="s">
        <v>3751</v>
      </c>
      <c r="C234" s="148" t="s">
        <v>2375</v>
      </c>
      <c r="D234" s="243" t="s">
        <v>3868</v>
      </c>
      <c r="E234" s="148" t="s">
        <v>3869</v>
      </c>
      <c r="F234" s="148" t="s">
        <v>3870</v>
      </c>
      <c r="G234" s="148" t="s">
        <v>3871</v>
      </c>
      <c r="H234" s="148" t="s">
        <v>3872</v>
      </c>
      <c r="I234" s="148" t="s">
        <v>3873</v>
      </c>
      <c r="J234" s="148" t="s">
        <v>3874</v>
      </c>
      <c r="K234" s="148" t="s">
        <v>3875</v>
      </c>
      <c r="L234" s="235" t="s">
        <v>3876</v>
      </c>
      <c r="M234" s="148" t="s">
        <v>3877</v>
      </c>
    </row>
    <row r="235" spans="1:13" ht="409.5">
      <c r="A235" s="148" t="str">
        <f t="shared" si="16"/>
        <v>Smelter ListB3</v>
      </c>
      <c r="B235" s="148" t="s">
        <v>3751</v>
      </c>
      <c r="C235" s="148" t="s">
        <v>2385</v>
      </c>
      <c r="D235" s="244" t="s">
        <v>3878</v>
      </c>
      <c r="E235" s="148" t="s">
        <v>3879</v>
      </c>
      <c r="F235" s="256" t="s">
        <v>3880</v>
      </c>
      <c r="G235" s="226" t="s">
        <v>3881</v>
      </c>
      <c r="H235" s="232" t="s">
        <v>3882</v>
      </c>
      <c r="I235" s="226" t="s">
        <v>3883</v>
      </c>
      <c r="J235" s="226" t="s">
        <v>3884</v>
      </c>
      <c r="K235" s="233" t="s">
        <v>3885</v>
      </c>
      <c r="L235" s="226" t="s">
        <v>3886</v>
      </c>
      <c r="M235" s="226" t="s">
        <v>3887</v>
      </c>
    </row>
    <row r="236" spans="1:13">
      <c r="A236" s="148" t="str">
        <f t="shared" si="16"/>
        <v>Smelter ListF4</v>
      </c>
      <c r="B236" s="148" t="s">
        <v>3751</v>
      </c>
      <c r="C236" s="148" t="s">
        <v>3707</v>
      </c>
      <c r="D236" s="148" t="s">
        <v>3888</v>
      </c>
      <c r="E236" s="148" t="s">
        <v>3889</v>
      </c>
      <c r="F236" s="148" t="s">
        <v>2634</v>
      </c>
      <c r="G236" s="148" t="s">
        <v>3700</v>
      </c>
      <c r="H236" s="148" t="s">
        <v>3890</v>
      </c>
      <c r="I236" s="148" t="s">
        <v>3891</v>
      </c>
      <c r="J236" s="166" t="s">
        <v>3892</v>
      </c>
      <c r="K236" s="224" t="s">
        <v>3893</v>
      </c>
      <c r="L236" s="230" t="s">
        <v>3894</v>
      </c>
      <c r="M236" s="148" t="s">
        <v>3895</v>
      </c>
    </row>
    <row r="237" spans="1:13" ht="28.5">
      <c r="A237" s="148" t="str">
        <f t="shared" si="16"/>
        <v>Smelter ListG4</v>
      </c>
      <c r="B237" s="148" t="s">
        <v>3751</v>
      </c>
      <c r="C237" s="148" t="s">
        <v>3718</v>
      </c>
      <c r="D237" s="148" t="s">
        <v>3708</v>
      </c>
      <c r="E237" s="148" t="s">
        <v>3709</v>
      </c>
      <c r="F237" s="148" t="s">
        <v>3710</v>
      </c>
      <c r="G237" s="148" t="s">
        <v>3711</v>
      </c>
      <c r="H237" s="148" t="s">
        <v>3712</v>
      </c>
      <c r="I237" s="148" t="s">
        <v>3713</v>
      </c>
      <c r="J237" s="166" t="s">
        <v>3714</v>
      </c>
      <c r="K237" s="224" t="s">
        <v>3715</v>
      </c>
      <c r="L237" s="230" t="s">
        <v>3716</v>
      </c>
      <c r="M237" s="148" t="s">
        <v>3717</v>
      </c>
    </row>
    <row r="238" spans="1:13" ht="28.5">
      <c r="A238" s="148" t="str">
        <f t="shared" si="16"/>
        <v>Smelter ListAH5</v>
      </c>
      <c r="B238" s="148" t="s">
        <v>3751</v>
      </c>
      <c r="C238" s="148" t="s">
        <v>3896</v>
      </c>
      <c r="D238" s="148" t="s">
        <v>117</v>
      </c>
      <c r="E238" s="148" t="s">
        <v>3498</v>
      </c>
      <c r="F238" s="148" t="s">
        <v>3499</v>
      </c>
      <c r="G238" s="148" t="s">
        <v>3500</v>
      </c>
      <c r="H238" s="148" t="s">
        <v>3501</v>
      </c>
      <c r="I238" s="148" t="s">
        <v>3502</v>
      </c>
      <c r="J238" s="148" t="s">
        <v>3503</v>
      </c>
      <c r="K238" s="224" t="s">
        <v>3504</v>
      </c>
      <c r="L238" s="230" t="s">
        <v>3505</v>
      </c>
      <c r="M238" s="148" t="s">
        <v>3506</v>
      </c>
    </row>
    <row r="239" spans="1:13" ht="28.5">
      <c r="A239" s="148" t="str">
        <f t="shared" si="16"/>
        <v>Smelter ListAH6</v>
      </c>
      <c r="B239" s="148" t="s">
        <v>3751</v>
      </c>
      <c r="C239" s="148" t="s">
        <v>3897</v>
      </c>
      <c r="D239" s="148" t="s">
        <v>118</v>
      </c>
      <c r="E239" s="148" t="s">
        <v>3508</v>
      </c>
      <c r="F239" s="148" t="s">
        <v>3509</v>
      </c>
      <c r="G239" s="148" t="s">
        <v>3510</v>
      </c>
      <c r="H239" s="148" t="s">
        <v>118</v>
      </c>
      <c r="I239" s="148" t="s">
        <v>3511</v>
      </c>
      <c r="J239" s="148" t="s">
        <v>3512</v>
      </c>
      <c r="K239" s="224" t="s">
        <v>118</v>
      </c>
      <c r="L239" s="230" t="s">
        <v>3513</v>
      </c>
      <c r="M239" s="148" t="s">
        <v>3514</v>
      </c>
    </row>
    <row r="240" spans="1:13" ht="28.5">
      <c r="A240" s="148" t="str">
        <f t="shared" si="16"/>
        <v>Smelter ListAH7</v>
      </c>
      <c r="B240" s="148" t="s">
        <v>3751</v>
      </c>
      <c r="C240" s="148" t="s">
        <v>3898</v>
      </c>
      <c r="D240" s="148" t="s">
        <v>119</v>
      </c>
      <c r="E240" s="148" t="s">
        <v>3516</v>
      </c>
      <c r="F240" s="148" t="s">
        <v>3517</v>
      </c>
      <c r="G240" s="148" t="s">
        <v>3518</v>
      </c>
      <c r="H240" s="148" t="s">
        <v>3519</v>
      </c>
      <c r="I240" s="148" t="s">
        <v>3520</v>
      </c>
      <c r="J240" s="148" t="s">
        <v>3521</v>
      </c>
      <c r="K240" s="224" t="s">
        <v>3522</v>
      </c>
      <c r="L240" s="230" t="s">
        <v>3523</v>
      </c>
      <c r="M240" s="148" t="s">
        <v>3524</v>
      </c>
    </row>
    <row r="241" spans="1:13" ht="57">
      <c r="A241" s="148" t="str">
        <f t="shared" si="16"/>
        <v>CheckerA1</v>
      </c>
      <c r="B241" s="148" t="s">
        <v>3899</v>
      </c>
      <c r="C241" s="148" t="s">
        <v>1609</v>
      </c>
      <c r="D241" s="148" t="s">
        <v>3900</v>
      </c>
      <c r="E241" s="148" t="s">
        <v>3901</v>
      </c>
      <c r="F241" s="148" t="s">
        <v>3902</v>
      </c>
      <c r="G241" s="148" t="s">
        <v>3903</v>
      </c>
      <c r="H241" s="148" t="s">
        <v>3904</v>
      </c>
      <c r="I241" s="148" t="s">
        <v>3905</v>
      </c>
      <c r="J241" s="166" t="s">
        <v>3906</v>
      </c>
      <c r="K241" s="224" t="s">
        <v>3907</v>
      </c>
      <c r="L241" s="230" t="s">
        <v>3908</v>
      </c>
      <c r="M241" s="148" t="s">
        <v>3909</v>
      </c>
    </row>
    <row r="242" spans="1:13">
      <c r="A242" s="148" t="str">
        <f t="shared" si="16"/>
        <v>CheckerD1</v>
      </c>
      <c r="B242" s="148" t="s">
        <v>3899</v>
      </c>
      <c r="C242" s="148" t="s">
        <v>3910</v>
      </c>
      <c r="D242" s="148" t="s">
        <v>3911</v>
      </c>
      <c r="E242" s="148" t="s">
        <v>3912</v>
      </c>
      <c r="F242" s="148" t="s">
        <v>3913</v>
      </c>
      <c r="G242" s="148" t="s">
        <v>3914</v>
      </c>
      <c r="H242" s="148" t="s">
        <v>3915</v>
      </c>
      <c r="I242" s="148" t="s">
        <v>3916</v>
      </c>
      <c r="J242" s="148" t="s">
        <v>3917</v>
      </c>
      <c r="K242" s="224" t="s">
        <v>3918</v>
      </c>
      <c r="L242" s="230" t="s">
        <v>3919</v>
      </c>
      <c r="M242" s="148" t="s">
        <v>3920</v>
      </c>
    </row>
    <row r="243" spans="1:13">
      <c r="A243" s="148" t="str">
        <f t="shared" si="16"/>
        <v>CheckerA3</v>
      </c>
      <c r="B243" s="148" t="s">
        <v>3899</v>
      </c>
      <c r="C243" s="148" t="s">
        <v>1630</v>
      </c>
      <c r="D243" s="148" t="s">
        <v>3921</v>
      </c>
      <c r="E243" s="148" t="s">
        <v>3922</v>
      </c>
      <c r="F243" s="148" t="s">
        <v>3923</v>
      </c>
      <c r="G243" s="148" t="s">
        <v>3924</v>
      </c>
      <c r="H243" s="148" t="s">
        <v>3925</v>
      </c>
      <c r="I243" s="148" t="s">
        <v>3926</v>
      </c>
      <c r="J243" s="148" t="s">
        <v>3927</v>
      </c>
      <c r="K243" s="224" t="s">
        <v>3928</v>
      </c>
      <c r="L243" s="230" t="s">
        <v>3929</v>
      </c>
      <c r="M243" s="148" t="s">
        <v>3930</v>
      </c>
    </row>
    <row r="244" spans="1:13">
      <c r="A244" s="148" t="str">
        <f t="shared" si="16"/>
        <v>CheckerB3</v>
      </c>
      <c r="B244" s="148" t="s">
        <v>3899</v>
      </c>
      <c r="C244" s="148" t="s">
        <v>2385</v>
      </c>
      <c r="D244" s="148" t="s">
        <v>3931</v>
      </c>
      <c r="E244" s="148" t="s">
        <v>3932</v>
      </c>
      <c r="F244" s="148" t="s">
        <v>3414</v>
      </c>
      <c r="G244" s="148" t="s">
        <v>3933</v>
      </c>
      <c r="H244" s="148" t="s">
        <v>3934</v>
      </c>
      <c r="I244" s="148" t="s">
        <v>3935</v>
      </c>
      <c r="J244" s="148" t="s">
        <v>3936</v>
      </c>
      <c r="K244" s="224" t="s">
        <v>3937</v>
      </c>
      <c r="L244" s="230" t="s">
        <v>3938</v>
      </c>
      <c r="M244" s="148" t="s">
        <v>3939</v>
      </c>
    </row>
    <row r="245" spans="1:13">
      <c r="A245" s="148" t="str">
        <f t="shared" si="16"/>
        <v>CheckerC3</v>
      </c>
      <c r="B245" s="148" t="s">
        <v>3899</v>
      </c>
      <c r="C245" s="148" t="s">
        <v>2688</v>
      </c>
      <c r="D245" s="148" t="s">
        <v>3940</v>
      </c>
      <c r="E245" s="148" t="s">
        <v>3941</v>
      </c>
      <c r="F245" s="148" t="s">
        <v>3942</v>
      </c>
      <c r="G245" s="148" t="s">
        <v>3943</v>
      </c>
      <c r="H245" s="148" t="s">
        <v>3944</v>
      </c>
      <c r="I245" s="148" t="s">
        <v>3945</v>
      </c>
      <c r="J245" s="148" t="s">
        <v>3946</v>
      </c>
      <c r="K245" s="224" t="s">
        <v>3945</v>
      </c>
      <c r="L245" s="230" t="s">
        <v>3947</v>
      </c>
      <c r="M245" s="148" t="s">
        <v>3948</v>
      </c>
    </row>
    <row r="246" spans="1:13">
      <c r="A246" s="148" t="str">
        <f t="shared" si="16"/>
        <v>CheckerD3</v>
      </c>
      <c r="B246" s="148" t="s">
        <v>3899</v>
      </c>
      <c r="C246" s="148" t="s">
        <v>3949</v>
      </c>
      <c r="D246" s="148" t="s">
        <v>3950</v>
      </c>
      <c r="E246" s="148" t="s">
        <v>3951</v>
      </c>
      <c r="F246" s="148" t="s">
        <v>3952</v>
      </c>
      <c r="G246" s="148" t="s">
        <v>3953</v>
      </c>
      <c r="H246" s="148" t="s">
        <v>3954</v>
      </c>
      <c r="I246" s="148" t="s">
        <v>3955</v>
      </c>
      <c r="J246" s="148" t="s">
        <v>3956</v>
      </c>
      <c r="K246" s="224" t="s">
        <v>3957</v>
      </c>
      <c r="L246" s="230" t="s">
        <v>3958</v>
      </c>
      <c r="M246" s="148" t="s">
        <v>3959</v>
      </c>
    </row>
    <row r="247" spans="1:13" ht="32.25" customHeight="1">
      <c r="A247" s="148" t="s">
        <v>3960</v>
      </c>
      <c r="B247" s="148" t="s">
        <v>3899</v>
      </c>
      <c r="C247" s="148" t="s">
        <v>3961</v>
      </c>
      <c r="D247" s="148" t="s">
        <v>3962</v>
      </c>
      <c r="E247" s="148" t="s">
        <v>3963</v>
      </c>
      <c r="F247" s="148" t="s">
        <v>3964</v>
      </c>
      <c r="G247" s="148" t="s">
        <v>3965</v>
      </c>
      <c r="H247" s="148" t="s">
        <v>3966</v>
      </c>
      <c r="I247" s="148" t="s">
        <v>3967</v>
      </c>
      <c r="J247" s="148" t="s">
        <v>3968</v>
      </c>
      <c r="K247" s="148" t="s">
        <v>3969</v>
      </c>
      <c r="L247" s="235" t="s">
        <v>3970</v>
      </c>
      <c r="M247" s="148" t="s">
        <v>3971</v>
      </c>
    </row>
    <row r="248" spans="1:13" ht="32.25" customHeight="1">
      <c r="A248" s="148" t="str">
        <f>B248&amp;C248</f>
        <v>CheckerB63</v>
      </c>
      <c r="B248" s="148" t="s">
        <v>3899</v>
      </c>
      <c r="C248" s="148" t="s">
        <v>3972</v>
      </c>
      <c r="D248" s="148" t="s">
        <v>3962</v>
      </c>
      <c r="E248" s="148" t="s">
        <v>3963</v>
      </c>
      <c r="F248" s="148" t="s">
        <v>3964</v>
      </c>
      <c r="G248" s="148" t="s">
        <v>3965</v>
      </c>
      <c r="H248" s="148" t="s">
        <v>3966</v>
      </c>
      <c r="I248" s="148" t="s">
        <v>3967</v>
      </c>
      <c r="J248" s="148" t="s">
        <v>3968</v>
      </c>
      <c r="K248" s="148" t="s">
        <v>3969</v>
      </c>
      <c r="L248" s="235" t="s">
        <v>3970</v>
      </c>
      <c r="M248" s="148" t="s">
        <v>3971</v>
      </c>
    </row>
    <row r="249" spans="1:13" ht="32.25" customHeight="1">
      <c r="A249" s="148" t="str">
        <f>B249&amp;C249</f>
        <v>CheckerB64</v>
      </c>
      <c r="B249" s="148" t="s">
        <v>3899</v>
      </c>
      <c r="C249" s="148" t="s">
        <v>3973</v>
      </c>
      <c r="D249" s="148" t="s">
        <v>3962</v>
      </c>
      <c r="E249" s="148" t="s">
        <v>3963</v>
      </c>
      <c r="F249" s="148" t="s">
        <v>3964</v>
      </c>
      <c r="G249" s="148" t="s">
        <v>3965</v>
      </c>
      <c r="H249" s="148" t="s">
        <v>3966</v>
      </c>
      <c r="I249" s="148" t="s">
        <v>3967</v>
      </c>
      <c r="J249" s="148" t="s">
        <v>3968</v>
      </c>
      <c r="K249" s="148" t="s">
        <v>3969</v>
      </c>
      <c r="L249" s="235" t="s">
        <v>3970</v>
      </c>
      <c r="M249" s="148" t="s">
        <v>3971</v>
      </c>
    </row>
    <row r="250" spans="1:13" ht="32.25" customHeight="1">
      <c r="A250" s="148" t="str">
        <f>B250&amp;C250</f>
        <v>CheckerB65</v>
      </c>
      <c r="B250" s="148" t="s">
        <v>3899</v>
      </c>
      <c r="C250" s="148" t="s">
        <v>3974</v>
      </c>
      <c r="D250" s="148" t="s">
        <v>3962</v>
      </c>
      <c r="E250" s="148" t="s">
        <v>3963</v>
      </c>
      <c r="F250" s="148" t="s">
        <v>3964</v>
      </c>
      <c r="G250" s="148" t="s">
        <v>3965</v>
      </c>
      <c r="H250" s="148" t="s">
        <v>3966</v>
      </c>
      <c r="I250" s="148" t="s">
        <v>3967</v>
      </c>
      <c r="J250" s="148" t="s">
        <v>3968</v>
      </c>
      <c r="K250" s="148" t="s">
        <v>3969</v>
      </c>
      <c r="L250" s="235" t="s">
        <v>3970</v>
      </c>
      <c r="M250" s="148" t="s">
        <v>3971</v>
      </c>
    </row>
    <row r="251" spans="1:13" ht="32.25" customHeight="1">
      <c r="A251" s="148" t="s">
        <v>3975</v>
      </c>
      <c r="B251" s="148" t="s">
        <v>3899</v>
      </c>
      <c r="C251" s="148" t="s">
        <v>3976</v>
      </c>
      <c r="D251" s="148" t="s">
        <v>3977</v>
      </c>
      <c r="E251" s="148" t="s">
        <v>3978</v>
      </c>
      <c r="F251" s="148" t="s">
        <v>3979</v>
      </c>
      <c r="G251" s="148" t="s">
        <v>3980</v>
      </c>
      <c r="H251" s="148" t="s">
        <v>3981</v>
      </c>
      <c r="I251" s="148" t="s">
        <v>3982</v>
      </c>
      <c r="J251" s="148" t="s">
        <v>3983</v>
      </c>
      <c r="K251" s="148" t="s">
        <v>3977</v>
      </c>
      <c r="L251" s="235" t="s">
        <v>3984</v>
      </c>
      <c r="M251" s="148" t="s">
        <v>3985</v>
      </c>
    </row>
    <row r="252" spans="1:13" ht="28.5">
      <c r="A252" s="148" t="s">
        <v>3986</v>
      </c>
      <c r="B252" s="148" t="s">
        <v>3899</v>
      </c>
      <c r="C252" s="148" t="s">
        <v>3789</v>
      </c>
      <c r="D252" s="148" t="s">
        <v>3987</v>
      </c>
      <c r="E252" s="148" t="s">
        <v>3988</v>
      </c>
      <c r="F252" s="148" t="s">
        <v>3989</v>
      </c>
      <c r="G252" s="148" t="s">
        <v>3990</v>
      </c>
      <c r="H252" s="148" t="s">
        <v>3991</v>
      </c>
      <c r="I252" s="148" t="s">
        <v>3992</v>
      </c>
      <c r="J252" s="148" t="s">
        <v>3993</v>
      </c>
      <c r="K252" s="148" t="s">
        <v>3994</v>
      </c>
      <c r="L252" s="235" t="s">
        <v>3995</v>
      </c>
      <c r="M252" s="148" t="s">
        <v>3996</v>
      </c>
    </row>
    <row r="253" spans="1:13" ht="42.75">
      <c r="A253" s="148" t="s">
        <v>3997</v>
      </c>
      <c r="B253" s="148" t="s">
        <v>3899</v>
      </c>
      <c r="C253" s="148" t="s">
        <v>3998</v>
      </c>
      <c r="D253" s="148" t="s">
        <v>3999</v>
      </c>
      <c r="E253" s="148" t="s">
        <v>4000</v>
      </c>
      <c r="F253" s="148" t="s">
        <v>4001</v>
      </c>
      <c r="G253" s="148" t="s">
        <v>4002</v>
      </c>
      <c r="H253" s="148" t="s">
        <v>4003</v>
      </c>
      <c r="I253" s="148" t="s">
        <v>4004</v>
      </c>
      <c r="J253" s="148" t="s">
        <v>4005</v>
      </c>
      <c r="K253" s="148" t="s">
        <v>4006</v>
      </c>
      <c r="L253" s="235" t="s">
        <v>4007</v>
      </c>
      <c r="M253" s="148" t="s">
        <v>4008</v>
      </c>
    </row>
    <row r="254" spans="1:13" ht="28.5">
      <c r="A254" s="148" t="s">
        <v>4009</v>
      </c>
      <c r="B254" s="148" t="s">
        <v>3899</v>
      </c>
      <c r="C254" s="148" t="s">
        <v>4010</v>
      </c>
      <c r="D254" s="148" t="s">
        <v>4011</v>
      </c>
      <c r="E254" s="148" t="s">
        <v>4012</v>
      </c>
      <c r="F254" s="148" t="s">
        <v>4013</v>
      </c>
      <c r="G254" s="148" t="s">
        <v>4014</v>
      </c>
      <c r="H254" s="148" t="s">
        <v>4015</v>
      </c>
      <c r="I254" s="148" t="s">
        <v>4016</v>
      </c>
      <c r="J254" s="148" t="s">
        <v>4017</v>
      </c>
      <c r="K254" s="148" t="s">
        <v>4018</v>
      </c>
      <c r="L254" s="235" t="s">
        <v>4019</v>
      </c>
      <c r="M254" s="148" t="s">
        <v>4020</v>
      </c>
    </row>
    <row r="255" spans="1:13" ht="28.5">
      <c r="A255" s="148" t="s">
        <v>4021</v>
      </c>
      <c r="B255" s="148" t="s">
        <v>3899</v>
      </c>
      <c r="C255" s="148" t="s">
        <v>4022</v>
      </c>
      <c r="D255" s="148" t="s">
        <v>4023</v>
      </c>
      <c r="E255" s="148" t="s">
        <v>4024</v>
      </c>
      <c r="F255" s="148" t="s">
        <v>4025</v>
      </c>
      <c r="G255" s="148" t="s">
        <v>4026</v>
      </c>
      <c r="H255" s="148" t="s">
        <v>4027</v>
      </c>
      <c r="I255" s="148" t="s">
        <v>4028</v>
      </c>
      <c r="J255" s="148" t="s">
        <v>4029</v>
      </c>
      <c r="K255" s="148" t="s">
        <v>4030</v>
      </c>
      <c r="L255" s="235" t="s">
        <v>4031</v>
      </c>
      <c r="M255" s="148" t="s">
        <v>4032</v>
      </c>
    </row>
    <row r="256" spans="1:13" ht="42.75">
      <c r="A256" s="148" t="s">
        <v>4033</v>
      </c>
      <c r="B256" s="148" t="s">
        <v>3899</v>
      </c>
      <c r="C256" s="148" t="s">
        <v>4034</v>
      </c>
      <c r="D256" s="148" t="s">
        <v>4035</v>
      </c>
      <c r="E256" s="148" t="s">
        <v>4036</v>
      </c>
      <c r="F256" s="148" t="s">
        <v>4037</v>
      </c>
      <c r="G256" s="148" t="s">
        <v>4038</v>
      </c>
      <c r="H256" s="148" t="s">
        <v>4039</v>
      </c>
      <c r="I256" s="148" t="s">
        <v>4040</v>
      </c>
      <c r="J256" s="148" t="s">
        <v>4041</v>
      </c>
      <c r="K256" s="148" t="s">
        <v>4042</v>
      </c>
      <c r="L256" s="235" t="s">
        <v>4043</v>
      </c>
      <c r="M256" s="148" t="s">
        <v>4044</v>
      </c>
    </row>
    <row r="257" spans="1:13" ht="28.5">
      <c r="A257" s="148" t="s">
        <v>4045</v>
      </c>
      <c r="B257" s="148" t="s">
        <v>3899</v>
      </c>
      <c r="C257" s="148" t="s">
        <v>4046</v>
      </c>
      <c r="D257" s="148" t="s">
        <v>4047</v>
      </c>
      <c r="E257" s="148" t="s">
        <v>4048</v>
      </c>
      <c r="F257" s="148" t="s">
        <v>4049</v>
      </c>
      <c r="G257" s="148" t="s">
        <v>4050</v>
      </c>
      <c r="H257" s="148" t="s">
        <v>4051</v>
      </c>
      <c r="I257" s="148" t="s">
        <v>4052</v>
      </c>
      <c r="J257" s="148" t="s">
        <v>4053</v>
      </c>
      <c r="K257" s="148" t="s">
        <v>4054</v>
      </c>
      <c r="L257" s="235" t="s">
        <v>4055</v>
      </c>
      <c r="M257" s="148" t="s">
        <v>4056</v>
      </c>
    </row>
    <row r="258" spans="1:13" ht="42.75">
      <c r="A258" s="148" t="s">
        <v>4057</v>
      </c>
      <c r="B258" s="148" t="s">
        <v>3899</v>
      </c>
      <c r="C258" s="148" t="s">
        <v>4058</v>
      </c>
      <c r="D258" s="148" t="s">
        <v>4059</v>
      </c>
      <c r="E258" s="148" t="s">
        <v>4060</v>
      </c>
      <c r="F258" s="148" t="s">
        <v>4061</v>
      </c>
      <c r="G258" s="148" t="s">
        <v>4062</v>
      </c>
      <c r="H258" s="148" t="s">
        <v>4063</v>
      </c>
      <c r="I258" s="148" t="s">
        <v>4064</v>
      </c>
      <c r="J258" s="148" t="s">
        <v>4065</v>
      </c>
      <c r="K258" s="148" t="s">
        <v>4066</v>
      </c>
      <c r="L258" s="235" t="s">
        <v>4067</v>
      </c>
      <c r="M258" s="148" t="s">
        <v>4068</v>
      </c>
    </row>
    <row r="259" spans="1:13" ht="57">
      <c r="A259" s="148" t="s">
        <v>4069</v>
      </c>
      <c r="B259" s="148" t="s">
        <v>3899</v>
      </c>
      <c r="C259" s="148" t="s">
        <v>4070</v>
      </c>
      <c r="D259" s="148" t="s">
        <v>4071</v>
      </c>
      <c r="E259" s="148" t="s">
        <v>4072</v>
      </c>
      <c r="F259" s="148" t="s">
        <v>4073</v>
      </c>
      <c r="G259" s="148" t="s">
        <v>4074</v>
      </c>
      <c r="H259" s="148" t="s">
        <v>4075</v>
      </c>
      <c r="I259" s="148" t="s">
        <v>4076</v>
      </c>
      <c r="J259" s="148" t="s">
        <v>4077</v>
      </c>
      <c r="K259" s="148" t="s">
        <v>4078</v>
      </c>
      <c r="L259" s="235" t="s">
        <v>4079</v>
      </c>
      <c r="M259" s="148" t="s">
        <v>4080</v>
      </c>
    </row>
    <row r="260" spans="1:13" ht="42.75">
      <c r="A260" s="148" t="s">
        <v>4081</v>
      </c>
      <c r="B260" s="148" t="s">
        <v>3899</v>
      </c>
      <c r="C260" s="148" t="s">
        <v>4082</v>
      </c>
      <c r="D260" s="148" t="s">
        <v>4083</v>
      </c>
      <c r="E260" s="148" t="s">
        <v>4084</v>
      </c>
      <c r="F260" s="148" t="s">
        <v>4085</v>
      </c>
      <c r="G260" s="148" t="s">
        <v>4086</v>
      </c>
      <c r="H260" s="148" t="s">
        <v>4087</v>
      </c>
      <c r="I260" s="148" t="s">
        <v>4088</v>
      </c>
      <c r="J260" s="148" t="s">
        <v>4089</v>
      </c>
      <c r="K260" s="148" t="s">
        <v>4090</v>
      </c>
      <c r="L260" s="235" t="s">
        <v>4091</v>
      </c>
      <c r="M260" s="148" t="s">
        <v>4092</v>
      </c>
    </row>
    <row r="261" spans="1:13" ht="42.75">
      <c r="A261" s="148" t="s">
        <v>4093</v>
      </c>
      <c r="B261" s="148" t="s">
        <v>3899</v>
      </c>
      <c r="C261" s="148" t="s">
        <v>4094</v>
      </c>
      <c r="D261" s="148" t="s">
        <v>4095</v>
      </c>
      <c r="E261" s="148" t="s">
        <v>4096</v>
      </c>
      <c r="F261" s="148" t="s">
        <v>4097</v>
      </c>
      <c r="G261" s="148" t="s">
        <v>4098</v>
      </c>
      <c r="H261" s="148" t="s">
        <v>4099</v>
      </c>
      <c r="I261" s="148" t="s">
        <v>4100</v>
      </c>
      <c r="J261" s="148" t="s">
        <v>4101</v>
      </c>
      <c r="K261" s="148" t="s">
        <v>4102</v>
      </c>
      <c r="L261" s="235" t="s">
        <v>4103</v>
      </c>
      <c r="M261" s="148" t="s">
        <v>4104</v>
      </c>
    </row>
    <row r="262" spans="1:13" ht="42.75">
      <c r="A262" s="148" t="s">
        <v>4105</v>
      </c>
      <c r="B262" s="148" t="s">
        <v>3899</v>
      </c>
      <c r="C262" s="148" t="s">
        <v>4106</v>
      </c>
      <c r="D262" s="148" t="s">
        <v>4107</v>
      </c>
      <c r="E262" s="148" t="s">
        <v>4108</v>
      </c>
      <c r="F262" s="148" t="s">
        <v>4109</v>
      </c>
      <c r="G262" s="148" t="s">
        <v>4110</v>
      </c>
      <c r="H262" s="148" t="s">
        <v>4111</v>
      </c>
      <c r="I262" s="148" t="s">
        <v>4112</v>
      </c>
      <c r="J262" s="148" t="s">
        <v>4113</v>
      </c>
      <c r="K262" s="148" t="s">
        <v>4114</v>
      </c>
      <c r="L262" s="235" t="s">
        <v>4115</v>
      </c>
      <c r="M262" s="148" t="s">
        <v>4116</v>
      </c>
    </row>
    <row r="263" spans="1:13" ht="42.75">
      <c r="A263" s="148" t="s">
        <v>4117</v>
      </c>
      <c r="B263" s="148" t="s">
        <v>3899</v>
      </c>
      <c r="C263" s="148" t="s">
        <v>4118</v>
      </c>
      <c r="D263" s="148" t="s">
        <v>4119</v>
      </c>
      <c r="E263" s="148" t="s">
        <v>4120</v>
      </c>
      <c r="F263" s="148" t="s">
        <v>4121</v>
      </c>
      <c r="G263" s="148" t="s">
        <v>4122</v>
      </c>
      <c r="H263" s="148" t="s">
        <v>4123</v>
      </c>
      <c r="I263" s="148" t="s">
        <v>4124</v>
      </c>
      <c r="J263" s="148" t="s">
        <v>4125</v>
      </c>
      <c r="K263" s="148" t="s">
        <v>4126</v>
      </c>
      <c r="L263" s="235" t="s">
        <v>4127</v>
      </c>
      <c r="M263" s="148" t="s">
        <v>4128</v>
      </c>
    </row>
    <row r="264" spans="1:13" ht="42.75">
      <c r="A264" s="148" t="s">
        <v>4129</v>
      </c>
      <c r="B264" s="148" t="s">
        <v>3899</v>
      </c>
      <c r="C264" s="148" t="s">
        <v>4130</v>
      </c>
      <c r="D264" s="148" t="s">
        <v>4131</v>
      </c>
      <c r="E264" s="148" t="s">
        <v>4132</v>
      </c>
      <c r="F264" s="148" t="s">
        <v>4133</v>
      </c>
      <c r="G264" s="148" t="s">
        <v>4134</v>
      </c>
      <c r="H264" s="148" t="s">
        <v>4135</v>
      </c>
      <c r="I264" s="148" t="s">
        <v>4136</v>
      </c>
      <c r="J264" s="148" t="s">
        <v>4137</v>
      </c>
      <c r="K264" s="148" t="s">
        <v>4138</v>
      </c>
      <c r="L264" s="235" t="s">
        <v>4139</v>
      </c>
      <c r="M264" s="148" t="s">
        <v>4140</v>
      </c>
    </row>
    <row r="265" spans="1:13" ht="57">
      <c r="A265" s="148" t="s">
        <v>4141</v>
      </c>
      <c r="B265" s="148" t="s">
        <v>3899</v>
      </c>
      <c r="C265" s="148" t="s">
        <v>4142</v>
      </c>
      <c r="D265" s="148" t="s">
        <v>4143</v>
      </c>
      <c r="E265" s="148" t="s">
        <v>4144</v>
      </c>
      <c r="F265" s="148" t="s">
        <v>4145</v>
      </c>
      <c r="G265" s="148" t="s">
        <v>4146</v>
      </c>
      <c r="H265" s="148" t="s">
        <v>4147</v>
      </c>
      <c r="I265" s="148" t="s">
        <v>4148</v>
      </c>
      <c r="J265" s="148" t="s">
        <v>4149</v>
      </c>
      <c r="K265" s="148" t="s">
        <v>4150</v>
      </c>
      <c r="L265" s="235" t="s">
        <v>4151</v>
      </c>
      <c r="M265" s="148" t="s">
        <v>4152</v>
      </c>
    </row>
    <row r="266" spans="1:13" ht="57">
      <c r="A266" s="148" t="s">
        <v>4153</v>
      </c>
      <c r="B266" s="148" t="s">
        <v>3899</v>
      </c>
      <c r="C266" s="148" t="s">
        <v>4154</v>
      </c>
      <c r="D266" s="148" t="s">
        <v>4155</v>
      </c>
      <c r="E266" s="148" t="s">
        <v>4156</v>
      </c>
      <c r="F266" s="148" t="s">
        <v>4157</v>
      </c>
      <c r="G266" s="148" t="s">
        <v>4158</v>
      </c>
      <c r="H266" s="148" t="s">
        <v>4159</v>
      </c>
      <c r="I266" s="148" t="s">
        <v>4160</v>
      </c>
      <c r="J266" s="148" t="s">
        <v>4161</v>
      </c>
      <c r="K266" s="148" t="s">
        <v>4162</v>
      </c>
      <c r="L266" s="235" t="s">
        <v>4163</v>
      </c>
      <c r="M266" s="148" t="s">
        <v>4164</v>
      </c>
    </row>
    <row r="267" spans="1:13" ht="57">
      <c r="A267" s="148" t="s">
        <v>4165</v>
      </c>
      <c r="B267" s="148" t="s">
        <v>3899</v>
      </c>
      <c r="C267" s="148" t="s">
        <v>4166</v>
      </c>
      <c r="D267" s="148" t="s">
        <v>4167</v>
      </c>
      <c r="E267" s="148" t="s">
        <v>4168</v>
      </c>
      <c r="F267" s="148" t="s">
        <v>4169</v>
      </c>
      <c r="G267" s="148" t="s">
        <v>4170</v>
      </c>
      <c r="H267" s="148" t="s">
        <v>4171</v>
      </c>
      <c r="I267" s="148" t="s">
        <v>4172</v>
      </c>
      <c r="J267" s="148" t="s">
        <v>4173</v>
      </c>
      <c r="K267" s="148" t="s">
        <v>4174</v>
      </c>
      <c r="L267" s="235" t="s">
        <v>4175</v>
      </c>
      <c r="M267" s="148" t="s">
        <v>4176</v>
      </c>
    </row>
    <row r="268" spans="1:13" ht="57">
      <c r="A268" s="148" t="s">
        <v>4177</v>
      </c>
      <c r="B268" s="148" t="s">
        <v>3899</v>
      </c>
      <c r="C268" s="148" t="s">
        <v>4178</v>
      </c>
      <c r="D268" s="148" t="s">
        <v>4179</v>
      </c>
      <c r="E268" s="148" t="s">
        <v>4180</v>
      </c>
      <c r="F268" s="148" t="s">
        <v>4181</v>
      </c>
      <c r="G268" s="148" t="s">
        <v>4182</v>
      </c>
      <c r="H268" s="148" t="s">
        <v>4183</v>
      </c>
      <c r="I268" s="148" t="s">
        <v>4184</v>
      </c>
      <c r="J268" s="148" t="s">
        <v>4185</v>
      </c>
      <c r="K268" s="148" t="s">
        <v>4186</v>
      </c>
      <c r="L268" s="235" t="s">
        <v>4187</v>
      </c>
      <c r="M268" s="148" t="s">
        <v>4188</v>
      </c>
    </row>
    <row r="269" spans="1:13" ht="71.25">
      <c r="A269" s="148" t="s">
        <v>4189</v>
      </c>
      <c r="B269" s="148" t="s">
        <v>3899</v>
      </c>
      <c r="C269" s="148" t="s">
        <v>4190</v>
      </c>
      <c r="D269" s="148" t="s">
        <v>4191</v>
      </c>
      <c r="E269" s="148" t="s">
        <v>4192</v>
      </c>
      <c r="F269" s="148" t="s">
        <v>4193</v>
      </c>
      <c r="G269" s="148" t="s">
        <v>4194</v>
      </c>
      <c r="H269" s="148" t="s">
        <v>4195</v>
      </c>
      <c r="I269" s="148" t="s">
        <v>4196</v>
      </c>
      <c r="J269" s="148" t="s">
        <v>4197</v>
      </c>
      <c r="K269" s="148" t="s">
        <v>4198</v>
      </c>
      <c r="L269" s="235" t="s">
        <v>4199</v>
      </c>
      <c r="M269" s="148" t="s">
        <v>4200</v>
      </c>
    </row>
    <row r="270" spans="1:13" ht="71.25">
      <c r="A270" s="148" t="s">
        <v>4201</v>
      </c>
      <c r="B270" s="148" t="s">
        <v>3899</v>
      </c>
      <c r="C270" s="148" t="s">
        <v>4202</v>
      </c>
      <c r="D270" s="148" t="s">
        <v>4203</v>
      </c>
      <c r="E270" s="148" t="s">
        <v>4204</v>
      </c>
      <c r="F270" s="148" t="s">
        <v>4205</v>
      </c>
      <c r="G270" s="148" t="s">
        <v>4206</v>
      </c>
      <c r="H270" s="148" t="s">
        <v>4207</v>
      </c>
      <c r="I270" s="148" t="s">
        <v>4208</v>
      </c>
      <c r="J270" s="148" t="s">
        <v>4209</v>
      </c>
      <c r="K270" s="148" t="s">
        <v>4210</v>
      </c>
      <c r="L270" s="235" t="s">
        <v>4211</v>
      </c>
      <c r="M270" s="148" t="s">
        <v>4212</v>
      </c>
    </row>
    <row r="271" spans="1:13" ht="71.25">
      <c r="A271" s="148" t="s">
        <v>4213</v>
      </c>
      <c r="B271" s="148" t="s">
        <v>3899</v>
      </c>
      <c r="C271" s="148" t="s">
        <v>4214</v>
      </c>
      <c r="D271" s="148" t="s">
        <v>4215</v>
      </c>
      <c r="E271" s="148" t="s">
        <v>4216</v>
      </c>
      <c r="F271" s="148" t="s">
        <v>4217</v>
      </c>
      <c r="G271" s="148" t="s">
        <v>4218</v>
      </c>
      <c r="H271" s="148" t="s">
        <v>4219</v>
      </c>
      <c r="I271" s="148" t="s">
        <v>4220</v>
      </c>
      <c r="J271" s="148" t="s">
        <v>4221</v>
      </c>
      <c r="K271" s="148" t="s">
        <v>4222</v>
      </c>
      <c r="L271" s="235" t="s">
        <v>4223</v>
      </c>
      <c r="M271" s="148" t="s">
        <v>4224</v>
      </c>
    </row>
    <row r="272" spans="1:13" ht="71.25">
      <c r="A272" s="148" t="s">
        <v>4225</v>
      </c>
      <c r="B272" s="148" t="s">
        <v>3899</v>
      </c>
      <c r="C272" s="148" t="s">
        <v>4226</v>
      </c>
      <c r="D272" s="148" t="s">
        <v>4227</v>
      </c>
      <c r="E272" s="148" t="s">
        <v>4228</v>
      </c>
      <c r="F272" s="148" t="s">
        <v>4229</v>
      </c>
      <c r="G272" s="148" t="s">
        <v>4230</v>
      </c>
      <c r="H272" s="148" t="s">
        <v>4231</v>
      </c>
      <c r="I272" s="148" t="s">
        <v>4232</v>
      </c>
      <c r="J272" s="148" t="s">
        <v>4233</v>
      </c>
      <c r="K272" s="148" t="s">
        <v>4234</v>
      </c>
      <c r="L272" s="235" t="s">
        <v>4235</v>
      </c>
      <c r="M272" s="148" t="s">
        <v>4236</v>
      </c>
    </row>
    <row r="273" spans="1:13" ht="71.25">
      <c r="A273" s="148" t="s">
        <v>4237</v>
      </c>
      <c r="B273" s="148" t="s">
        <v>3899</v>
      </c>
      <c r="C273" s="148" t="s">
        <v>4238</v>
      </c>
      <c r="D273" s="148" t="s">
        <v>4239</v>
      </c>
      <c r="E273" s="148" t="s">
        <v>4240</v>
      </c>
      <c r="F273" s="148" t="s">
        <v>4241</v>
      </c>
      <c r="G273" s="148" t="s">
        <v>4242</v>
      </c>
      <c r="H273" s="148" t="s">
        <v>4243</v>
      </c>
      <c r="I273" s="148" t="s">
        <v>4244</v>
      </c>
      <c r="J273" s="148" t="s">
        <v>4245</v>
      </c>
      <c r="K273" s="148" t="s">
        <v>4246</v>
      </c>
      <c r="L273" s="148" t="s">
        <v>4247</v>
      </c>
      <c r="M273" s="148" t="s">
        <v>4248</v>
      </c>
    </row>
    <row r="274" spans="1:13" ht="71.25">
      <c r="A274" s="148" t="s">
        <v>4249</v>
      </c>
      <c r="B274" s="148" t="s">
        <v>3899</v>
      </c>
      <c r="C274" s="148" t="s">
        <v>4250</v>
      </c>
      <c r="D274" s="148" t="s">
        <v>4251</v>
      </c>
      <c r="E274" s="148" t="s">
        <v>4252</v>
      </c>
      <c r="F274" s="148" t="s">
        <v>4253</v>
      </c>
      <c r="G274" s="148" t="s">
        <v>4254</v>
      </c>
      <c r="H274" s="148" t="s">
        <v>4255</v>
      </c>
      <c r="I274" s="148" t="s">
        <v>4256</v>
      </c>
      <c r="J274" s="148" t="s">
        <v>4257</v>
      </c>
      <c r="K274" s="148" t="s">
        <v>4258</v>
      </c>
      <c r="L274" s="148" t="s">
        <v>4259</v>
      </c>
      <c r="M274" s="148" t="s">
        <v>4260</v>
      </c>
    </row>
    <row r="275" spans="1:13" ht="71.25">
      <c r="A275" s="148" t="s">
        <v>4261</v>
      </c>
      <c r="B275" s="148" t="s">
        <v>3899</v>
      </c>
      <c r="C275" s="148" t="s">
        <v>4262</v>
      </c>
      <c r="D275" s="148" t="s">
        <v>4263</v>
      </c>
      <c r="E275" s="148" t="s">
        <v>4264</v>
      </c>
      <c r="F275" s="148" t="s">
        <v>4265</v>
      </c>
      <c r="G275" s="148" t="s">
        <v>4266</v>
      </c>
      <c r="H275" s="148" t="s">
        <v>4267</v>
      </c>
      <c r="I275" s="148" t="s">
        <v>4268</v>
      </c>
      <c r="J275" s="148" t="s">
        <v>4269</v>
      </c>
      <c r="K275" s="148" t="s">
        <v>4270</v>
      </c>
      <c r="L275" s="148" t="s">
        <v>4271</v>
      </c>
      <c r="M275" s="148" t="s">
        <v>4272</v>
      </c>
    </row>
    <row r="276" spans="1:13" ht="71.25">
      <c r="A276" s="148" t="s">
        <v>4273</v>
      </c>
      <c r="B276" s="148" t="s">
        <v>3899</v>
      </c>
      <c r="C276" s="148" t="s">
        <v>4274</v>
      </c>
      <c r="D276" s="148" t="s">
        <v>4275</v>
      </c>
      <c r="E276" s="148" t="s">
        <v>4276</v>
      </c>
      <c r="F276" s="148" t="s">
        <v>4277</v>
      </c>
      <c r="G276" s="148" t="s">
        <v>4278</v>
      </c>
      <c r="H276" s="148" t="s">
        <v>4279</v>
      </c>
      <c r="I276" s="148" t="s">
        <v>4280</v>
      </c>
      <c r="J276" s="148" t="s">
        <v>4281</v>
      </c>
      <c r="K276" s="148" t="s">
        <v>4282</v>
      </c>
      <c r="L276" s="148" t="s">
        <v>4283</v>
      </c>
      <c r="M276" s="148" t="s">
        <v>4284</v>
      </c>
    </row>
    <row r="277" spans="1:13" ht="71.25">
      <c r="A277" s="148" t="s">
        <v>4285</v>
      </c>
      <c r="B277" s="148" t="s">
        <v>3899</v>
      </c>
      <c r="C277" s="148" t="s">
        <v>4286</v>
      </c>
      <c r="D277" s="148" t="s">
        <v>4287</v>
      </c>
      <c r="E277" s="206" t="s">
        <v>4288</v>
      </c>
      <c r="F277" s="148" t="s">
        <v>4289</v>
      </c>
      <c r="G277" s="148" t="s">
        <v>4290</v>
      </c>
      <c r="H277" s="148" t="s">
        <v>4291</v>
      </c>
      <c r="I277" s="148" t="s">
        <v>4292</v>
      </c>
      <c r="J277" s="148" t="s">
        <v>4293</v>
      </c>
      <c r="K277" s="148" t="s">
        <v>4294</v>
      </c>
      <c r="L277" s="235" t="s">
        <v>4295</v>
      </c>
      <c r="M277" s="148" t="s">
        <v>4296</v>
      </c>
    </row>
    <row r="278" spans="1:13" ht="71.25">
      <c r="A278" s="148" t="s">
        <v>4297</v>
      </c>
      <c r="B278" s="148" t="s">
        <v>3899</v>
      </c>
      <c r="C278" s="148" t="s">
        <v>4298</v>
      </c>
      <c r="D278" s="148" t="s">
        <v>4299</v>
      </c>
      <c r="E278" s="206" t="s">
        <v>4300</v>
      </c>
      <c r="F278" s="148" t="s">
        <v>4301</v>
      </c>
      <c r="G278" s="148" t="s">
        <v>4302</v>
      </c>
      <c r="H278" s="148" t="s">
        <v>4303</v>
      </c>
      <c r="I278" s="148" t="s">
        <v>4304</v>
      </c>
      <c r="J278" s="148" t="s">
        <v>4305</v>
      </c>
      <c r="K278" s="148" t="s">
        <v>4306</v>
      </c>
      <c r="L278" s="235" t="s">
        <v>4307</v>
      </c>
      <c r="M278" s="148" t="s">
        <v>4308</v>
      </c>
    </row>
    <row r="279" spans="1:13" ht="71.25">
      <c r="A279" s="148" t="s">
        <v>4309</v>
      </c>
      <c r="B279" s="148" t="s">
        <v>3899</v>
      </c>
      <c r="C279" s="148" t="s">
        <v>4310</v>
      </c>
      <c r="D279" s="148" t="s">
        <v>4311</v>
      </c>
      <c r="E279" s="206" t="s">
        <v>4312</v>
      </c>
      <c r="F279" s="148" t="s">
        <v>4313</v>
      </c>
      <c r="G279" s="148" t="s">
        <v>4314</v>
      </c>
      <c r="H279" s="148" t="s">
        <v>4315</v>
      </c>
      <c r="I279" s="148" t="s">
        <v>4316</v>
      </c>
      <c r="J279" s="148" t="s">
        <v>4317</v>
      </c>
      <c r="K279" s="148" t="s">
        <v>4318</v>
      </c>
      <c r="L279" s="235" t="s">
        <v>4319</v>
      </c>
      <c r="M279" s="148" t="s">
        <v>4320</v>
      </c>
    </row>
    <row r="280" spans="1:13" ht="71.25">
      <c r="A280" s="148" t="s">
        <v>4321</v>
      </c>
      <c r="B280" s="148" t="s">
        <v>3899</v>
      </c>
      <c r="C280" s="148" t="s">
        <v>4322</v>
      </c>
      <c r="D280" s="148" t="s">
        <v>4323</v>
      </c>
      <c r="E280" s="206" t="s">
        <v>4324</v>
      </c>
      <c r="F280" s="148" t="s">
        <v>4325</v>
      </c>
      <c r="G280" s="148" t="s">
        <v>4326</v>
      </c>
      <c r="H280" s="148" t="s">
        <v>4327</v>
      </c>
      <c r="I280" s="148" t="s">
        <v>4328</v>
      </c>
      <c r="J280" s="148" t="s">
        <v>4329</v>
      </c>
      <c r="K280" s="148" t="s">
        <v>4330</v>
      </c>
      <c r="L280" s="235" t="s">
        <v>4331</v>
      </c>
      <c r="M280" s="148" t="s">
        <v>4332</v>
      </c>
    </row>
    <row r="281" spans="1:13" ht="57">
      <c r="A281" s="148" t="s">
        <v>4333</v>
      </c>
      <c r="B281" s="148" t="s">
        <v>3899</v>
      </c>
      <c r="C281" s="148" t="s">
        <v>4334</v>
      </c>
      <c r="D281" s="148" t="s">
        <v>4335</v>
      </c>
      <c r="E281" s="206" t="s">
        <v>4336</v>
      </c>
      <c r="F281" s="148" t="s">
        <v>4337</v>
      </c>
      <c r="G281" s="148" t="s">
        <v>4338</v>
      </c>
      <c r="H281" s="148" t="s">
        <v>4339</v>
      </c>
      <c r="I281" s="148" t="s">
        <v>4340</v>
      </c>
      <c r="J281" s="148" t="s">
        <v>4341</v>
      </c>
      <c r="K281" s="148" t="s">
        <v>4342</v>
      </c>
      <c r="L281" s="235" t="s">
        <v>4343</v>
      </c>
      <c r="M281" s="148" t="s">
        <v>4344</v>
      </c>
    </row>
    <row r="282" spans="1:13" ht="57" customHeight="1">
      <c r="A282" s="148" t="s">
        <v>4345</v>
      </c>
      <c r="B282" s="148" t="s">
        <v>3899</v>
      </c>
      <c r="C282" s="148" t="s">
        <v>4346</v>
      </c>
      <c r="D282" s="148" t="s">
        <v>4347</v>
      </c>
      <c r="E282" s="206" t="s">
        <v>4348</v>
      </c>
      <c r="F282" s="148" t="s">
        <v>4349</v>
      </c>
      <c r="G282" s="148" t="s">
        <v>4350</v>
      </c>
      <c r="H282" s="148" t="s">
        <v>4351</v>
      </c>
      <c r="I282" s="148" t="s">
        <v>4352</v>
      </c>
      <c r="J282" s="148" t="s">
        <v>4353</v>
      </c>
      <c r="K282" s="148" t="s">
        <v>4354</v>
      </c>
      <c r="L282" s="235" t="s">
        <v>4355</v>
      </c>
      <c r="M282" s="148" t="s">
        <v>4356</v>
      </c>
    </row>
    <row r="283" spans="1:13" ht="57" customHeight="1">
      <c r="A283" s="148" t="s">
        <v>4357</v>
      </c>
      <c r="B283" s="148" t="s">
        <v>3899</v>
      </c>
      <c r="C283" s="148" t="s">
        <v>4358</v>
      </c>
      <c r="D283" s="148" t="s">
        <v>4359</v>
      </c>
      <c r="E283" s="206" t="s">
        <v>4360</v>
      </c>
      <c r="F283" s="148" t="s">
        <v>4361</v>
      </c>
      <c r="G283" s="148" t="s">
        <v>4362</v>
      </c>
      <c r="H283" s="148" t="s">
        <v>4363</v>
      </c>
      <c r="I283" s="148" t="s">
        <v>4364</v>
      </c>
      <c r="J283" s="148" t="s">
        <v>4365</v>
      </c>
      <c r="K283" s="148" t="s">
        <v>4366</v>
      </c>
      <c r="L283" s="235" t="s">
        <v>4367</v>
      </c>
      <c r="M283" s="148" t="s">
        <v>4368</v>
      </c>
    </row>
    <row r="284" spans="1:13" ht="57" customHeight="1">
      <c r="A284" s="148" t="s">
        <v>4369</v>
      </c>
      <c r="B284" s="148" t="s">
        <v>3899</v>
      </c>
      <c r="C284" s="148" t="s">
        <v>4370</v>
      </c>
      <c r="D284" s="148" t="s">
        <v>4371</v>
      </c>
      <c r="E284" s="206" t="s">
        <v>4372</v>
      </c>
      <c r="F284" s="148" t="s">
        <v>4373</v>
      </c>
      <c r="G284" s="148" t="s">
        <v>4374</v>
      </c>
      <c r="H284" s="148" t="s">
        <v>4375</v>
      </c>
      <c r="I284" s="148" t="s">
        <v>4376</v>
      </c>
      <c r="J284" s="148" t="s">
        <v>4377</v>
      </c>
      <c r="K284" s="148" t="s">
        <v>4378</v>
      </c>
      <c r="L284" s="235" t="s">
        <v>4379</v>
      </c>
      <c r="M284" s="148" t="s">
        <v>4380</v>
      </c>
    </row>
    <row r="285" spans="1:13" ht="57" customHeight="1">
      <c r="A285" s="148" t="s">
        <v>4381</v>
      </c>
      <c r="B285" s="148" t="s">
        <v>3899</v>
      </c>
      <c r="C285" s="148" t="s">
        <v>4382</v>
      </c>
      <c r="D285" s="148" t="s">
        <v>4383</v>
      </c>
      <c r="E285" s="206" t="s">
        <v>4384</v>
      </c>
      <c r="F285" s="148" t="s">
        <v>4385</v>
      </c>
      <c r="G285" s="148" t="s">
        <v>4386</v>
      </c>
      <c r="H285" s="148" t="s">
        <v>4387</v>
      </c>
      <c r="I285" s="148" t="s">
        <v>4388</v>
      </c>
      <c r="J285" s="148" t="s">
        <v>4389</v>
      </c>
      <c r="K285" s="148" t="s">
        <v>4390</v>
      </c>
      <c r="L285" s="235" t="s">
        <v>4391</v>
      </c>
      <c r="M285" s="148" t="s">
        <v>4392</v>
      </c>
    </row>
    <row r="286" spans="1:13" ht="57">
      <c r="A286" s="148" t="s">
        <v>4393</v>
      </c>
      <c r="B286" s="148" t="s">
        <v>3899</v>
      </c>
      <c r="C286" s="148" t="s">
        <v>4394</v>
      </c>
      <c r="D286" s="148" t="s">
        <v>4395</v>
      </c>
      <c r="E286" s="206" t="s">
        <v>4396</v>
      </c>
      <c r="F286" s="148" t="s">
        <v>4397</v>
      </c>
      <c r="G286" s="148" t="s">
        <v>4398</v>
      </c>
      <c r="H286" s="148" t="s">
        <v>4399</v>
      </c>
      <c r="I286" s="148" t="s">
        <v>4400</v>
      </c>
      <c r="J286" s="148" t="s">
        <v>4401</v>
      </c>
      <c r="K286" s="148" t="s">
        <v>4402</v>
      </c>
      <c r="L286" s="235" t="s">
        <v>4403</v>
      </c>
      <c r="M286" s="148" t="s">
        <v>4404</v>
      </c>
    </row>
    <row r="287" spans="1:13" ht="57">
      <c r="A287" s="148" t="s">
        <v>4405</v>
      </c>
      <c r="B287" s="148" t="s">
        <v>3899</v>
      </c>
      <c r="C287" s="148" t="s">
        <v>4406</v>
      </c>
      <c r="D287" s="148" t="s">
        <v>4407</v>
      </c>
      <c r="E287" s="206" t="s">
        <v>4408</v>
      </c>
      <c r="F287" s="148" t="s">
        <v>4409</v>
      </c>
      <c r="G287" s="148" t="s">
        <v>4410</v>
      </c>
      <c r="H287" s="148" t="s">
        <v>4411</v>
      </c>
      <c r="I287" s="148" t="s">
        <v>4412</v>
      </c>
      <c r="J287" s="148" t="s">
        <v>4413</v>
      </c>
      <c r="K287" s="148" t="s">
        <v>4414</v>
      </c>
      <c r="L287" s="235" t="s">
        <v>4415</v>
      </c>
      <c r="M287" s="148" t="s">
        <v>4416</v>
      </c>
    </row>
    <row r="288" spans="1:13" ht="57">
      <c r="A288" s="148" t="s">
        <v>4417</v>
      </c>
      <c r="B288" s="148" t="s">
        <v>3899</v>
      </c>
      <c r="C288" s="148" t="s">
        <v>4418</v>
      </c>
      <c r="D288" s="148" t="s">
        <v>4419</v>
      </c>
      <c r="E288" s="206" t="s">
        <v>4420</v>
      </c>
      <c r="F288" s="148" t="s">
        <v>4421</v>
      </c>
      <c r="G288" s="148" t="s">
        <v>4422</v>
      </c>
      <c r="H288" s="148" t="s">
        <v>4423</v>
      </c>
      <c r="I288" s="148" t="s">
        <v>4424</v>
      </c>
      <c r="J288" s="148" t="s">
        <v>4425</v>
      </c>
      <c r="K288" s="148" t="s">
        <v>4426</v>
      </c>
      <c r="L288" s="235" t="s">
        <v>4427</v>
      </c>
      <c r="M288" s="148" t="s">
        <v>4428</v>
      </c>
    </row>
    <row r="289" spans="1:13" ht="42.75">
      <c r="A289" s="148" t="s">
        <v>4429</v>
      </c>
      <c r="B289" s="148" t="s">
        <v>3899</v>
      </c>
      <c r="C289" s="148" t="s">
        <v>4430</v>
      </c>
      <c r="D289" s="148" t="s">
        <v>4431</v>
      </c>
      <c r="E289" s="206" t="s">
        <v>4432</v>
      </c>
      <c r="F289" s="148" t="s">
        <v>4433</v>
      </c>
      <c r="G289" s="148" t="s">
        <v>4434</v>
      </c>
      <c r="H289" s="148" t="s">
        <v>4435</v>
      </c>
      <c r="I289" s="148" t="s">
        <v>4436</v>
      </c>
      <c r="J289" s="148" t="s">
        <v>4437</v>
      </c>
      <c r="K289" s="148" t="s">
        <v>4438</v>
      </c>
      <c r="L289" s="235" t="s">
        <v>4439</v>
      </c>
      <c r="M289" s="148" t="s">
        <v>4440</v>
      </c>
    </row>
    <row r="290" spans="1:13" ht="42.75">
      <c r="A290" s="148" t="s">
        <v>4441</v>
      </c>
      <c r="B290" s="148" t="s">
        <v>3899</v>
      </c>
      <c r="C290" s="148" t="s">
        <v>4442</v>
      </c>
      <c r="D290" s="148" t="s">
        <v>4443</v>
      </c>
      <c r="E290" s="206" t="s">
        <v>4444</v>
      </c>
      <c r="F290" s="148" t="s">
        <v>4445</v>
      </c>
      <c r="G290" s="148" t="s">
        <v>4446</v>
      </c>
      <c r="H290" s="148" t="s">
        <v>4447</v>
      </c>
      <c r="I290" s="148" t="s">
        <v>4448</v>
      </c>
      <c r="J290" s="148" t="s">
        <v>4449</v>
      </c>
      <c r="K290" s="148" t="s">
        <v>4450</v>
      </c>
      <c r="L290" s="235" t="s">
        <v>4451</v>
      </c>
      <c r="M290" s="148" t="s">
        <v>4452</v>
      </c>
    </row>
    <row r="291" spans="1:13" ht="42.75">
      <c r="A291" s="148" t="s">
        <v>4453</v>
      </c>
      <c r="B291" s="148" t="s">
        <v>3899</v>
      </c>
      <c r="C291" s="148" t="s">
        <v>4454</v>
      </c>
      <c r="D291" s="148" t="s">
        <v>4455</v>
      </c>
      <c r="E291" s="206" t="s">
        <v>4456</v>
      </c>
      <c r="F291" s="148" t="s">
        <v>4457</v>
      </c>
      <c r="G291" s="148" t="s">
        <v>4458</v>
      </c>
      <c r="H291" s="148" t="s">
        <v>4459</v>
      </c>
      <c r="I291" s="148" t="s">
        <v>4460</v>
      </c>
      <c r="J291" s="148" t="s">
        <v>4461</v>
      </c>
      <c r="K291" s="148" t="s">
        <v>4462</v>
      </c>
      <c r="L291" s="235" t="s">
        <v>4463</v>
      </c>
      <c r="M291" s="148" t="s">
        <v>4464</v>
      </c>
    </row>
    <row r="292" spans="1:13" ht="42.75">
      <c r="A292" s="148" t="s">
        <v>4465</v>
      </c>
      <c r="B292" s="148" t="s">
        <v>3899</v>
      </c>
      <c r="C292" s="148" t="s">
        <v>4466</v>
      </c>
      <c r="D292" s="148" t="s">
        <v>4467</v>
      </c>
      <c r="E292" s="206" t="s">
        <v>4468</v>
      </c>
      <c r="F292" s="148" t="s">
        <v>4469</v>
      </c>
      <c r="G292" s="148" t="s">
        <v>4470</v>
      </c>
      <c r="H292" s="148" t="s">
        <v>4471</v>
      </c>
      <c r="I292" s="148" t="s">
        <v>4472</v>
      </c>
      <c r="J292" s="148" t="s">
        <v>4473</v>
      </c>
      <c r="K292" s="148" t="s">
        <v>4474</v>
      </c>
      <c r="L292" s="235" t="s">
        <v>4475</v>
      </c>
      <c r="M292" s="148" t="s">
        <v>4476</v>
      </c>
    </row>
    <row r="293" spans="1:13" ht="57">
      <c r="A293" s="148" t="s">
        <v>4477</v>
      </c>
      <c r="B293" s="148" t="s">
        <v>3899</v>
      </c>
      <c r="C293" s="148" t="s">
        <v>4478</v>
      </c>
      <c r="D293" s="148" t="s">
        <v>4479</v>
      </c>
      <c r="E293" s="148" t="s">
        <v>4480</v>
      </c>
      <c r="F293" s="148" t="s">
        <v>4481</v>
      </c>
      <c r="G293" s="148" t="s">
        <v>4482</v>
      </c>
      <c r="H293" s="148" t="s">
        <v>4483</v>
      </c>
      <c r="I293" s="148" t="s">
        <v>4484</v>
      </c>
      <c r="J293" s="148" t="s">
        <v>4485</v>
      </c>
      <c r="K293" s="148" t="s">
        <v>4486</v>
      </c>
      <c r="L293" s="148" t="s">
        <v>4487</v>
      </c>
      <c r="M293" s="148" t="s">
        <v>4488</v>
      </c>
    </row>
    <row r="294" spans="1:13" ht="71.25">
      <c r="A294" s="148" t="s">
        <v>4489</v>
      </c>
      <c r="B294" s="148" t="s">
        <v>3899</v>
      </c>
      <c r="C294" s="148" t="s">
        <v>4490</v>
      </c>
      <c r="D294" s="148" t="s">
        <v>4491</v>
      </c>
      <c r="E294" s="148" t="s">
        <v>4492</v>
      </c>
      <c r="F294" s="148" t="s">
        <v>4493</v>
      </c>
      <c r="G294" s="148" t="s">
        <v>4494</v>
      </c>
      <c r="H294" s="148" t="s">
        <v>4495</v>
      </c>
      <c r="I294" s="148" t="s">
        <v>4496</v>
      </c>
      <c r="J294" s="148" t="s">
        <v>4497</v>
      </c>
      <c r="K294" s="148" t="s">
        <v>4498</v>
      </c>
      <c r="L294" s="148" t="s">
        <v>4499</v>
      </c>
      <c r="M294" s="148" t="s">
        <v>4500</v>
      </c>
    </row>
    <row r="295" spans="1:13" ht="57">
      <c r="A295" s="148" t="s">
        <v>4501</v>
      </c>
      <c r="B295" s="148" t="s">
        <v>3899</v>
      </c>
      <c r="C295" s="148" t="s">
        <v>4502</v>
      </c>
      <c r="D295" s="148" t="s">
        <v>4503</v>
      </c>
      <c r="E295" s="206" t="s">
        <v>4504</v>
      </c>
      <c r="F295" s="148" t="s">
        <v>4505</v>
      </c>
      <c r="G295" s="148" t="s">
        <v>4506</v>
      </c>
      <c r="H295" s="148" t="s">
        <v>4507</v>
      </c>
      <c r="I295" s="148" t="s">
        <v>4508</v>
      </c>
      <c r="J295" s="148" t="s">
        <v>4509</v>
      </c>
      <c r="K295" s="148" t="s">
        <v>4510</v>
      </c>
      <c r="L295" s="235" t="s">
        <v>4511</v>
      </c>
      <c r="M295" s="148" t="s">
        <v>4512</v>
      </c>
    </row>
    <row r="296" spans="1:13" ht="99.75">
      <c r="A296" s="148" t="s">
        <v>4513</v>
      </c>
      <c r="B296" s="148" t="s">
        <v>3899</v>
      </c>
      <c r="C296" s="148" t="s">
        <v>4514</v>
      </c>
      <c r="D296" s="148" t="s">
        <v>4515</v>
      </c>
      <c r="E296" s="148" t="s">
        <v>4516</v>
      </c>
      <c r="F296" s="148" t="s">
        <v>4517</v>
      </c>
      <c r="G296" s="148" t="s">
        <v>4518</v>
      </c>
      <c r="H296" s="148" t="s">
        <v>4519</v>
      </c>
      <c r="I296" s="148" t="s">
        <v>4520</v>
      </c>
      <c r="J296" s="148" t="s">
        <v>4521</v>
      </c>
      <c r="K296" s="148" t="s">
        <v>4522</v>
      </c>
      <c r="L296" s="148" t="s">
        <v>4523</v>
      </c>
      <c r="M296" s="148" t="s">
        <v>4524</v>
      </c>
    </row>
    <row r="297" spans="1:13" ht="57">
      <c r="A297" s="148" t="s">
        <v>4525</v>
      </c>
      <c r="B297" s="148" t="s">
        <v>3899</v>
      </c>
      <c r="C297" s="103" t="s">
        <v>4526</v>
      </c>
      <c r="D297" s="148" t="s">
        <v>4527</v>
      </c>
      <c r="E297" s="148" t="s">
        <v>4528</v>
      </c>
      <c r="F297" s="148" t="s">
        <v>4529</v>
      </c>
      <c r="G297" s="148" t="s">
        <v>4530</v>
      </c>
      <c r="H297" s="148" t="s">
        <v>4531</v>
      </c>
      <c r="I297" s="148" t="s">
        <v>4532</v>
      </c>
      <c r="J297" s="148" t="s">
        <v>4533</v>
      </c>
      <c r="K297" s="148" t="s">
        <v>4534</v>
      </c>
      <c r="L297" s="148" t="s">
        <v>4535</v>
      </c>
      <c r="M297" s="148" t="s">
        <v>4536</v>
      </c>
    </row>
    <row r="298" spans="1:13" ht="57">
      <c r="A298" s="148" t="s">
        <v>4537</v>
      </c>
      <c r="B298" s="148" t="s">
        <v>3899</v>
      </c>
      <c r="C298" s="148" t="s">
        <v>4538</v>
      </c>
      <c r="D298" s="148" t="s">
        <v>4539</v>
      </c>
      <c r="E298" s="206" t="s">
        <v>4540</v>
      </c>
      <c r="F298" s="148" t="s">
        <v>4541</v>
      </c>
      <c r="G298" s="148" t="s">
        <v>4542</v>
      </c>
      <c r="H298" s="148" t="s">
        <v>4543</v>
      </c>
      <c r="I298" s="148" t="s">
        <v>4544</v>
      </c>
      <c r="J298" s="148" t="s">
        <v>4545</v>
      </c>
      <c r="K298" s="148" t="s">
        <v>4546</v>
      </c>
      <c r="L298" s="235" t="s">
        <v>4547</v>
      </c>
      <c r="M298" s="148" t="s">
        <v>4548</v>
      </c>
    </row>
    <row r="299" spans="1:13" ht="42.75">
      <c r="A299" s="148" t="s">
        <v>3899</v>
      </c>
      <c r="D299" s="148" t="s">
        <v>4549</v>
      </c>
      <c r="E299" s="206" t="s">
        <v>4550</v>
      </c>
      <c r="F299" s="148" t="s">
        <v>4551</v>
      </c>
      <c r="G299" s="148" t="s">
        <v>4552</v>
      </c>
      <c r="H299" s="148" t="s">
        <v>4553</v>
      </c>
      <c r="I299" s="148" t="s">
        <v>4554</v>
      </c>
      <c r="J299" s="148" t="s">
        <v>4555</v>
      </c>
      <c r="K299" s="148" t="s">
        <v>4556</v>
      </c>
      <c r="L299" s="235" t="s">
        <v>4557</v>
      </c>
      <c r="M299" s="148" t="s">
        <v>4558</v>
      </c>
    </row>
    <row r="300" spans="1:13" ht="57">
      <c r="A300" s="148" t="s">
        <v>4559</v>
      </c>
      <c r="B300" s="148" t="s">
        <v>3899</v>
      </c>
      <c r="C300" s="148" t="s">
        <v>4560</v>
      </c>
      <c r="D300" s="148" t="s">
        <v>4561</v>
      </c>
      <c r="E300" s="206" t="s">
        <v>4562</v>
      </c>
      <c r="F300" s="148" t="s">
        <v>4563</v>
      </c>
      <c r="G300" s="148" t="s">
        <v>4564</v>
      </c>
      <c r="H300" s="148" t="s">
        <v>4565</v>
      </c>
      <c r="I300" s="148" t="s">
        <v>4566</v>
      </c>
      <c r="J300" s="148" t="s">
        <v>4567</v>
      </c>
      <c r="K300" s="148" t="s">
        <v>4568</v>
      </c>
      <c r="L300" s="235" t="s">
        <v>4569</v>
      </c>
      <c r="M300" s="148" t="s">
        <v>4570</v>
      </c>
    </row>
    <row r="301" spans="1:13" ht="57">
      <c r="A301" s="148" t="s">
        <v>4571</v>
      </c>
      <c r="B301" s="148" t="s">
        <v>3899</v>
      </c>
      <c r="C301" s="148" t="s">
        <v>4572</v>
      </c>
      <c r="D301" s="148" t="s">
        <v>4573</v>
      </c>
      <c r="E301" s="206" t="s">
        <v>4574</v>
      </c>
      <c r="F301" s="148" t="s">
        <v>4575</v>
      </c>
      <c r="G301" s="148" t="s">
        <v>4576</v>
      </c>
      <c r="H301" s="148" t="s">
        <v>4577</v>
      </c>
      <c r="I301" s="148" t="s">
        <v>4578</v>
      </c>
      <c r="J301" s="148" t="s">
        <v>4579</v>
      </c>
      <c r="K301" s="148" t="s">
        <v>4580</v>
      </c>
      <c r="L301" s="235" t="s">
        <v>4581</v>
      </c>
      <c r="M301" s="148" t="s">
        <v>4582</v>
      </c>
    </row>
    <row r="302" spans="1:13" ht="57">
      <c r="A302" s="148" t="s">
        <v>4583</v>
      </c>
      <c r="B302" s="148" t="s">
        <v>3899</v>
      </c>
      <c r="C302" s="148" t="s">
        <v>4584</v>
      </c>
      <c r="D302" s="148" t="s">
        <v>4585</v>
      </c>
      <c r="E302" s="148" t="s">
        <v>4586</v>
      </c>
      <c r="F302" s="148" t="s">
        <v>4587</v>
      </c>
      <c r="G302" s="148" t="s">
        <v>4588</v>
      </c>
      <c r="H302" s="148" t="s">
        <v>4589</v>
      </c>
      <c r="I302" s="148" t="s">
        <v>4590</v>
      </c>
      <c r="J302" s="148" t="s">
        <v>4591</v>
      </c>
      <c r="K302" s="148" t="s">
        <v>4592</v>
      </c>
      <c r="L302" s="148" t="s">
        <v>4593</v>
      </c>
      <c r="M302" s="148" t="s">
        <v>4594</v>
      </c>
    </row>
    <row r="303" spans="1:13" ht="60" customHeight="1">
      <c r="A303" s="148" t="s">
        <v>4595</v>
      </c>
      <c r="B303" s="148" t="s">
        <v>3899</v>
      </c>
      <c r="C303" s="148" t="s">
        <v>4596</v>
      </c>
      <c r="D303" s="148" t="s">
        <v>4597</v>
      </c>
      <c r="E303" s="206" t="s">
        <v>4598</v>
      </c>
      <c r="F303" s="148" t="s">
        <v>4599</v>
      </c>
      <c r="G303" s="148" t="s">
        <v>4600</v>
      </c>
      <c r="H303" s="148" t="s">
        <v>4601</v>
      </c>
      <c r="I303" s="148" t="s">
        <v>4602</v>
      </c>
      <c r="J303" s="148" t="s">
        <v>4603</v>
      </c>
      <c r="K303" s="148" t="s">
        <v>4604</v>
      </c>
      <c r="L303" s="235" t="s">
        <v>4605</v>
      </c>
      <c r="M303" s="148" t="s">
        <v>4606</v>
      </c>
    </row>
    <row r="304" spans="1:13" ht="60" customHeight="1">
      <c r="A304" s="148" t="s">
        <v>3899</v>
      </c>
      <c r="D304" s="148" t="s">
        <v>4607</v>
      </c>
      <c r="E304" s="206" t="s">
        <v>4608</v>
      </c>
      <c r="F304" s="148" t="s">
        <v>4609</v>
      </c>
      <c r="G304" s="148" t="s">
        <v>4610</v>
      </c>
      <c r="H304" s="148" t="s">
        <v>4611</v>
      </c>
      <c r="I304" s="148" t="s">
        <v>4612</v>
      </c>
      <c r="J304" s="148" t="s">
        <v>4613</v>
      </c>
      <c r="K304" s="148" t="s">
        <v>4614</v>
      </c>
      <c r="L304" s="235" t="s">
        <v>4615</v>
      </c>
      <c r="M304" s="148" t="s">
        <v>4616</v>
      </c>
    </row>
    <row r="305" spans="1:13" ht="57" customHeight="1">
      <c r="A305" s="148" t="s">
        <v>4617</v>
      </c>
      <c r="B305" s="148" t="s">
        <v>3899</v>
      </c>
      <c r="C305" s="148" t="s">
        <v>4618</v>
      </c>
      <c r="D305" s="245" t="s">
        <v>4619</v>
      </c>
      <c r="E305" s="206" t="s">
        <v>4620</v>
      </c>
      <c r="F305" s="148" t="s">
        <v>4621</v>
      </c>
      <c r="G305" s="106" t="s">
        <v>4622</v>
      </c>
      <c r="H305" s="148" t="s">
        <v>4623</v>
      </c>
      <c r="I305" s="148" t="s">
        <v>4624</v>
      </c>
      <c r="J305" s="148" t="s">
        <v>4625</v>
      </c>
      <c r="K305" s="148" t="s">
        <v>4626</v>
      </c>
      <c r="L305" s="235" t="s">
        <v>4627</v>
      </c>
      <c r="M305" s="148" t="s">
        <v>4628</v>
      </c>
    </row>
    <row r="306" spans="1:13" ht="57" customHeight="1">
      <c r="A306" s="148" t="s">
        <v>4629</v>
      </c>
      <c r="B306" s="148" t="s">
        <v>3899</v>
      </c>
      <c r="C306" s="148" t="s">
        <v>4630</v>
      </c>
      <c r="D306" s="245" t="s">
        <v>4631</v>
      </c>
      <c r="E306" s="206" t="s">
        <v>4632</v>
      </c>
      <c r="F306" s="148" t="s">
        <v>4633</v>
      </c>
      <c r="G306" s="106" t="s">
        <v>4634</v>
      </c>
      <c r="H306" s="148" t="s">
        <v>4635</v>
      </c>
      <c r="I306" s="148" t="s">
        <v>4636</v>
      </c>
      <c r="J306" s="148" t="s">
        <v>4637</v>
      </c>
      <c r="K306" s="148" t="s">
        <v>4638</v>
      </c>
      <c r="L306" s="235" t="s">
        <v>4639</v>
      </c>
      <c r="M306" s="148" t="s">
        <v>4640</v>
      </c>
    </row>
    <row r="307" spans="1:13" ht="57" customHeight="1">
      <c r="A307" s="148" t="s">
        <v>4641</v>
      </c>
      <c r="B307" s="148" t="s">
        <v>3899</v>
      </c>
      <c r="C307" s="148" t="s">
        <v>4642</v>
      </c>
      <c r="D307" s="245" t="s">
        <v>4643</v>
      </c>
      <c r="E307" s="206" t="s">
        <v>4644</v>
      </c>
      <c r="F307" s="148" t="s">
        <v>4645</v>
      </c>
      <c r="G307" s="106" t="s">
        <v>4646</v>
      </c>
      <c r="H307" s="148" t="s">
        <v>4647</v>
      </c>
      <c r="I307" s="148" t="s">
        <v>4648</v>
      </c>
      <c r="J307" s="148" t="s">
        <v>4649</v>
      </c>
      <c r="K307" s="148" t="s">
        <v>4650</v>
      </c>
      <c r="L307" s="235" t="s">
        <v>4651</v>
      </c>
      <c r="M307" s="148" t="s">
        <v>4652</v>
      </c>
    </row>
    <row r="308" spans="1:13" ht="57" customHeight="1">
      <c r="A308" s="148" t="s">
        <v>4653</v>
      </c>
      <c r="B308" s="148" t="s">
        <v>3899</v>
      </c>
      <c r="C308" s="148" t="s">
        <v>4654</v>
      </c>
      <c r="D308" s="245" t="s">
        <v>4655</v>
      </c>
      <c r="E308" s="206" t="s">
        <v>4656</v>
      </c>
      <c r="F308" s="148" t="s">
        <v>4657</v>
      </c>
      <c r="G308" s="106" t="s">
        <v>4658</v>
      </c>
      <c r="H308" s="148" t="s">
        <v>4659</v>
      </c>
      <c r="I308" s="148" t="s">
        <v>4660</v>
      </c>
      <c r="J308" s="148" t="s">
        <v>4661</v>
      </c>
      <c r="K308" s="148" t="s">
        <v>4662</v>
      </c>
      <c r="L308" s="235" t="s">
        <v>4663</v>
      </c>
      <c r="M308" s="148" t="s">
        <v>4664</v>
      </c>
    </row>
    <row r="309" spans="1:13" ht="28.5" customHeight="1">
      <c r="A309" s="148" t="s">
        <v>4617</v>
      </c>
      <c r="B309" s="148" t="s">
        <v>3899</v>
      </c>
      <c r="C309" s="148" t="s">
        <v>4618</v>
      </c>
      <c r="D309" s="148" t="s">
        <v>4665</v>
      </c>
      <c r="E309" s="225" t="s">
        <v>4666</v>
      </c>
      <c r="F309" s="103" t="s">
        <v>4667</v>
      </c>
      <c r="G309" s="106" t="s">
        <v>4668</v>
      </c>
      <c r="H309" s="148" t="s">
        <v>4669</v>
      </c>
      <c r="I309" s="148" t="s">
        <v>4670</v>
      </c>
      <c r="J309" s="148" t="s">
        <v>4671</v>
      </c>
      <c r="K309" s="106" t="s">
        <v>4672</v>
      </c>
      <c r="L309" s="231" t="s">
        <v>4673</v>
      </c>
      <c r="M309" s="148" t="s">
        <v>4674</v>
      </c>
    </row>
    <row r="310" spans="1:13" ht="28.5" customHeight="1">
      <c r="A310" s="148" t="s">
        <v>4629</v>
      </c>
      <c r="B310" s="148" t="s">
        <v>3899</v>
      </c>
      <c r="C310" s="148" t="s">
        <v>4630</v>
      </c>
      <c r="D310" s="148" t="s">
        <v>4665</v>
      </c>
      <c r="E310" s="225" t="s">
        <v>4666</v>
      </c>
      <c r="F310" s="103" t="s">
        <v>4667</v>
      </c>
      <c r="G310" s="106" t="s">
        <v>4668</v>
      </c>
      <c r="H310" s="148" t="s">
        <v>4669</v>
      </c>
      <c r="I310" s="148" t="s">
        <v>4670</v>
      </c>
      <c r="J310" s="148" t="s">
        <v>4671</v>
      </c>
      <c r="K310" s="106" t="s">
        <v>4672</v>
      </c>
      <c r="L310" s="231" t="s">
        <v>4673</v>
      </c>
      <c r="M310" s="148" t="s">
        <v>4674</v>
      </c>
    </row>
    <row r="311" spans="1:13" ht="28.5" customHeight="1">
      <c r="A311" s="148" t="s">
        <v>4641</v>
      </c>
      <c r="B311" s="148" t="s">
        <v>3899</v>
      </c>
      <c r="C311" s="148" t="s">
        <v>4642</v>
      </c>
      <c r="D311" s="148" t="s">
        <v>4665</v>
      </c>
      <c r="E311" s="225" t="s">
        <v>4666</v>
      </c>
      <c r="F311" s="103" t="s">
        <v>4667</v>
      </c>
      <c r="G311" s="106" t="s">
        <v>4668</v>
      </c>
      <c r="H311" s="148" t="s">
        <v>4669</v>
      </c>
      <c r="I311" s="148" t="s">
        <v>4670</v>
      </c>
      <c r="J311" s="148" t="s">
        <v>4671</v>
      </c>
      <c r="K311" s="106" t="s">
        <v>4672</v>
      </c>
      <c r="L311" s="231" t="s">
        <v>4673</v>
      </c>
      <c r="M311" s="148" t="s">
        <v>4674</v>
      </c>
    </row>
    <row r="312" spans="1:13" ht="28.5" customHeight="1">
      <c r="A312" s="148" t="s">
        <v>4653</v>
      </c>
      <c r="B312" s="148" t="s">
        <v>3899</v>
      </c>
      <c r="C312" s="148" t="s">
        <v>4654</v>
      </c>
      <c r="D312" s="148" t="s">
        <v>4665</v>
      </c>
      <c r="E312" s="225" t="s">
        <v>4666</v>
      </c>
      <c r="F312" s="103" t="s">
        <v>4667</v>
      </c>
      <c r="G312" s="106" t="s">
        <v>4668</v>
      </c>
      <c r="H312" s="148" t="s">
        <v>4669</v>
      </c>
      <c r="I312" s="148" t="s">
        <v>4670</v>
      </c>
      <c r="J312" s="148" t="s">
        <v>4671</v>
      </c>
      <c r="K312" s="106" t="s">
        <v>4672</v>
      </c>
      <c r="L312" s="231" t="s">
        <v>4673</v>
      </c>
      <c r="M312" s="148" t="s">
        <v>4674</v>
      </c>
    </row>
    <row r="313" spans="1:13" ht="42.75" customHeight="1">
      <c r="A313" s="148" t="str">
        <f t="shared" ref="A313" si="17">B313&amp;C313</f>
        <v>Product ListA1</v>
      </c>
      <c r="B313" s="148" t="s">
        <v>147</v>
      </c>
      <c r="C313" s="148" t="s">
        <v>1609</v>
      </c>
      <c r="D313" s="200" t="s">
        <v>4675</v>
      </c>
      <c r="E313" s="206" t="s">
        <v>4676</v>
      </c>
      <c r="F313" s="148" t="s">
        <v>4677</v>
      </c>
      <c r="G313" s="148" t="s">
        <v>4678</v>
      </c>
      <c r="H313" s="148" t="s">
        <v>4679</v>
      </c>
      <c r="I313" s="148" t="s">
        <v>4680</v>
      </c>
      <c r="J313" s="201" t="s">
        <v>4681</v>
      </c>
      <c r="K313" s="224" t="s">
        <v>4682</v>
      </c>
      <c r="L313" s="230" t="s">
        <v>4683</v>
      </c>
      <c r="M313" s="200" t="s">
        <v>4684</v>
      </c>
    </row>
    <row r="314" spans="1:13" ht="14.25" customHeight="1">
      <c r="A314" s="148" t="str">
        <f>B314&amp;C314</f>
        <v>Product ListB5</v>
      </c>
      <c r="B314" s="148" t="s">
        <v>147</v>
      </c>
      <c r="C314" s="148" t="s">
        <v>2399</v>
      </c>
      <c r="D314" s="200" t="s">
        <v>4685</v>
      </c>
      <c r="E314" s="206" t="s">
        <v>4686</v>
      </c>
      <c r="F314" s="148" t="s">
        <v>4687</v>
      </c>
      <c r="G314" s="148" t="s">
        <v>4688</v>
      </c>
      <c r="H314" s="148" t="s">
        <v>4689</v>
      </c>
      <c r="I314" s="148" t="s">
        <v>4690</v>
      </c>
      <c r="J314" s="200" t="s">
        <v>4691</v>
      </c>
      <c r="K314" s="224" t="s">
        <v>4692</v>
      </c>
      <c r="L314" s="246" t="s">
        <v>4693</v>
      </c>
      <c r="M314" s="200" t="s">
        <v>4694</v>
      </c>
    </row>
    <row r="315" spans="1:13" ht="28.5">
      <c r="A315" s="148" t="str">
        <f>B315&amp;C315</f>
        <v>Product ListC5</v>
      </c>
      <c r="B315" s="148" t="s">
        <v>147</v>
      </c>
      <c r="C315" s="148" t="s">
        <v>2710</v>
      </c>
      <c r="D315" s="200" t="s">
        <v>4695</v>
      </c>
      <c r="E315" s="206" t="s">
        <v>4696</v>
      </c>
      <c r="F315" s="148" t="s">
        <v>4697</v>
      </c>
      <c r="G315" s="148" t="s">
        <v>4698</v>
      </c>
      <c r="H315" s="148" t="s">
        <v>4699</v>
      </c>
      <c r="I315" s="148" t="s">
        <v>4700</v>
      </c>
      <c r="J315" s="200" t="s">
        <v>4701</v>
      </c>
      <c r="K315" s="224" t="s">
        <v>4702</v>
      </c>
      <c r="L315" s="246" t="s">
        <v>4703</v>
      </c>
      <c r="M315" s="200" t="s">
        <v>4704</v>
      </c>
    </row>
    <row r="316" spans="1:13" ht="28.5">
      <c r="A316" s="148" t="str">
        <f>B316&amp;C316</f>
        <v>Product ListD5</v>
      </c>
      <c r="B316" s="148" t="s">
        <v>147</v>
      </c>
      <c r="C316" s="148" t="s">
        <v>4705</v>
      </c>
      <c r="D316" s="200" t="s">
        <v>3433</v>
      </c>
      <c r="E316" s="225" t="s">
        <v>3434</v>
      </c>
      <c r="F316" s="148" t="s">
        <v>3435</v>
      </c>
      <c r="G316" s="148" t="s">
        <v>3436</v>
      </c>
      <c r="H316" s="148" t="s">
        <v>3437</v>
      </c>
      <c r="I316" s="148" t="s">
        <v>3438</v>
      </c>
      <c r="J316" s="200" t="s">
        <v>3439</v>
      </c>
      <c r="K316" s="224" t="s">
        <v>3440</v>
      </c>
      <c r="L316" s="246" t="s">
        <v>3441</v>
      </c>
      <c r="M316" s="200" t="s">
        <v>3442</v>
      </c>
    </row>
    <row r="317" spans="1:13" ht="28.5">
      <c r="A317" s="148" t="str">
        <f>B317&amp;C317</f>
        <v>GeneralCpy</v>
      </c>
      <c r="B317" s="148" t="s">
        <v>4706</v>
      </c>
      <c r="C317" s="148" t="s">
        <v>4707</v>
      </c>
      <c r="D317" s="148" t="s">
        <v>4708</v>
      </c>
      <c r="E317" s="206" t="s">
        <v>4709</v>
      </c>
      <c r="F317" s="148" t="s">
        <v>4708</v>
      </c>
      <c r="G317" s="148" t="s">
        <v>4708</v>
      </c>
      <c r="H317" s="148" t="s">
        <v>4708</v>
      </c>
      <c r="I317" s="148" t="s">
        <v>4708</v>
      </c>
      <c r="J317" s="148" t="s">
        <v>4708</v>
      </c>
      <c r="K317" s="148" t="s">
        <v>4708</v>
      </c>
      <c r="L317" s="235" t="s">
        <v>4708</v>
      </c>
      <c r="M317" s="148" t="s">
        <v>4710</v>
      </c>
    </row>
    <row r="318" spans="1:13">
      <c r="A318" s="148" t="s">
        <v>4711</v>
      </c>
      <c r="B318" s="148" t="s">
        <v>4706</v>
      </c>
      <c r="K318" s="148"/>
      <c r="L318" s="230"/>
      <c r="M318" s="148"/>
    </row>
    <row r="319" spans="1:13">
      <c r="K319" s="148"/>
      <c r="L319" s="230"/>
      <c r="M319" s="148"/>
    </row>
    <row r="320" spans="1:13" ht="85.5">
      <c r="A320" s="148" t="s">
        <v>3433</v>
      </c>
      <c r="D320" s="148" t="s">
        <v>4712</v>
      </c>
      <c r="E320" s="206" t="s">
        <v>4713</v>
      </c>
      <c r="F320" s="148" t="s">
        <v>4714</v>
      </c>
      <c r="G320" s="148" t="s">
        <v>4715</v>
      </c>
      <c r="H320" s="148" t="s">
        <v>4716</v>
      </c>
      <c r="I320" s="148" t="s">
        <v>4717</v>
      </c>
      <c r="J320" s="148" t="s">
        <v>4718</v>
      </c>
      <c r="K320" s="148" t="s">
        <v>4719</v>
      </c>
      <c r="L320" s="230" t="s">
        <v>4720</v>
      </c>
      <c r="M320" s="148" t="s">
        <v>4721</v>
      </c>
    </row>
    <row r="321" spans="1:13" ht="28.5">
      <c r="A321" s="148" t="s">
        <v>3433</v>
      </c>
      <c r="D321" s="148" t="s">
        <v>4722</v>
      </c>
      <c r="E321" s="206" t="s">
        <v>4723</v>
      </c>
      <c r="F321" s="148" t="s">
        <v>4724</v>
      </c>
      <c r="G321" s="263" t="s">
        <v>4725</v>
      </c>
      <c r="H321" s="148" t="s">
        <v>4726</v>
      </c>
      <c r="I321" s="148" t="s">
        <v>4727</v>
      </c>
      <c r="J321" s="148" t="s">
        <v>4728</v>
      </c>
      <c r="K321" s="148" t="s">
        <v>4729</v>
      </c>
      <c r="L321" s="247" t="s">
        <v>4730</v>
      </c>
      <c r="M321" s="148" t="s">
        <v>4731</v>
      </c>
    </row>
    <row r="322" spans="1:13" ht="28.5">
      <c r="A322" s="148" t="s">
        <v>3433</v>
      </c>
      <c r="D322" s="148" t="s">
        <v>4732</v>
      </c>
      <c r="E322" s="206" t="s">
        <v>4733</v>
      </c>
      <c r="F322" s="148" t="s">
        <v>4734</v>
      </c>
      <c r="G322" s="263" t="s">
        <v>4735</v>
      </c>
      <c r="H322" s="148" t="s">
        <v>4736</v>
      </c>
      <c r="I322" s="148" t="s">
        <v>4737</v>
      </c>
      <c r="J322" s="148" t="s">
        <v>4738</v>
      </c>
      <c r="K322" s="148" t="s">
        <v>4739</v>
      </c>
      <c r="L322" s="247" t="s">
        <v>4740</v>
      </c>
      <c r="M322" s="148" t="s">
        <v>4741</v>
      </c>
    </row>
    <row r="323" spans="1:13" ht="71.25">
      <c r="A323" s="148" t="s">
        <v>3433</v>
      </c>
      <c r="D323" s="148" t="s">
        <v>4742</v>
      </c>
      <c r="E323" s="206" t="s">
        <v>4743</v>
      </c>
      <c r="F323" s="148" t="s">
        <v>4744</v>
      </c>
      <c r="G323" s="263" t="s">
        <v>4745</v>
      </c>
      <c r="H323" s="148" t="s">
        <v>4746</v>
      </c>
      <c r="I323" s="148" t="s">
        <v>4747</v>
      </c>
      <c r="J323" s="148" t="s">
        <v>4748</v>
      </c>
      <c r="K323" s="148" t="s">
        <v>4749</v>
      </c>
      <c r="L323" s="247" t="s">
        <v>4750</v>
      </c>
      <c r="M323" s="148" t="s">
        <v>4751</v>
      </c>
    </row>
    <row r="324" spans="1:13" ht="28.5">
      <c r="A324" s="148" t="s">
        <v>3433</v>
      </c>
      <c r="D324" s="148" t="s">
        <v>4752</v>
      </c>
      <c r="E324" s="206" t="s">
        <v>4753</v>
      </c>
      <c r="F324" s="148" t="s">
        <v>4754</v>
      </c>
      <c r="G324" s="263" t="s">
        <v>4755</v>
      </c>
      <c r="H324" s="148" t="s">
        <v>4756</v>
      </c>
      <c r="I324" s="148" t="s">
        <v>4757</v>
      </c>
      <c r="J324" s="148" t="s">
        <v>4758</v>
      </c>
      <c r="K324" s="148" t="s">
        <v>4759</v>
      </c>
      <c r="L324" s="247" t="s">
        <v>4760</v>
      </c>
      <c r="M324" s="148" t="s">
        <v>4761</v>
      </c>
    </row>
    <row r="325" spans="1:13" ht="42.75">
      <c r="A325" s="148" t="s">
        <v>3433</v>
      </c>
      <c r="D325" s="148" t="s">
        <v>4762</v>
      </c>
      <c r="E325" s="206" t="s">
        <v>4763</v>
      </c>
      <c r="F325" s="148" t="s">
        <v>4764</v>
      </c>
      <c r="G325" s="263" t="s">
        <v>4765</v>
      </c>
      <c r="H325" s="148" t="s">
        <v>4766</v>
      </c>
      <c r="I325" s="148" t="s">
        <v>4767</v>
      </c>
      <c r="J325" s="148" t="s">
        <v>4768</v>
      </c>
      <c r="K325" s="148" t="s">
        <v>4769</v>
      </c>
      <c r="L325" s="247" t="s">
        <v>4770</v>
      </c>
      <c r="M325" s="148" t="s">
        <v>4771</v>
      </c>
    </row>
    <row r="326" spans="1:13" ht="85.5">
      <c r="A326" s="148" t="s">
        <v>3433</v>
      </c>
      <c r="D326" s="148" t="s">
        <v>4772</v>
      </c>
      <c r="E326" s="206" t="s">
        <v>4773</v>
      </c>
      <c r="F326" s="148" t="s">
        <v>4774</v>
      </c>
      <c r="G326" s="263" t="s">
        <v>4775</v>
      </c>
      <c r="H326" s="148" t="s">
        <v>4776</v>
      </c>
      <c r="I326" s="148" t="s">
        <v>4777</v>
      </c>
      <c r="J326" s="148" t="s">
        <v>4778</v>
      </c>
      <c r="K326" s="148" t="s">
        <v>4779</v>
      </c>
      <c r="L326" s="247" t="s">
        <v>4780</v>
      </c>
      <c r="M326" s="148" t="s">
        <v>4781</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Kenny Barkan</cp:lastModifiedBy>
  <cp:revision/>
  <dcterms:created xsi:type="dcterms:W3CDTF">2010-06-21T21:00:23Z</dcterms:created>
  <dcterms:modified xsi:type="dcterms:W3CDTF">2023-11-06T21:04:02Z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